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70" activeTab="1"/>
  </bookViews>
  <sheets>
    <sheet name="CÔNG KHAI DT THU 2025" sheetId="156" r:id="rId1"/>
    <sheet name="CÔNG KHAI DT CHI  2025" sheetId="114" r:id="rId2"/>
    <sheet name="00000000" sheetId="6" state="veryHidden" r:id="rId3"/>
    <sheet name="XL4Poppy" sheetId="55" state="hidden" r:id="rId4"/>
    <sheet name="Sheet7" sheetId="157" r:id="rId5"/>
    <sheet name="Sheet8" sheetId="158" r:id="rId6"/>
  </sheets>
  <definedNames>
    <definedName name="_1">#REF!</definedName>
    <definedName name="_2">#REF!</definedName>
    <definedName name="_CON1">#REF!</definedName>
    <definedName name="_CON2">#REF!</definedName>
    <definedName name="_Fill" hidden="1">#REF!</definedName>
    <definedName name="_NET2">#REF!</definedName>
    <definedName name="_Order1" hidden="1">255</definedName>
    <definedName name="_Order2" hidden="1">255</definedName>
    <definedName name="_Sort" hidden="1">#REF!</definedName>
    <definedName name="a277Print_Titles">#REF!</definedName>
    <definedName name="abc" localSheetId="3">XL4Poppy!$C$4</definedName>
    <definedName name="Bang_cly">#REF!</definedName>
    <definedName name="Bang_CVC">#REF!</definedName>
    <definedName name="bang_gia">#REF!</definedName>
    <definedName name="Bang_travl">#REF!</definedName>
    <definedName name="BOQ">#REF!</definedName>
    <definedName name="Bust">XL4Poppy!$C$31</definedName>
    <definedName name="BVCISUMMARY">#REF!</definedName>
    <definedName name="Co">#REF!</definedName>
    <definedName name="COMMON">#REF!</definedName>
    <definedName name="CON_EQP_COS">#REF!</definedName>
    <definedName name="Continue">XL4Poppy!$C$9</definedName>
    <definedName name="Cong_HM_DTCT">#REF!</definedName>
    <definedName name="Cong_M_DTCT">#REF!</definedName>
    <definedName name="Cong_NC_DTCT">#REF!</definedName>
    <definedName name="Cong_VL_DTCT">#REF!</definedName>
    <definedName name="COVER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tiep">#REF!</definedName>
    <definedName name="_xlnm.Database">#REF!</definedName>
    <definedName name="den_bu">#REF!</definedName>
    <definedName name="DGCTI592">#REF!</definedName>
    <definedName name="Document_array" localSheetId="3">{"Book1","Phan bo KH chi.2015.xls"}</definedName>
    <definedName name="Document_array">{"Thuxm2.xls","Sheet1"}</definedName>
    <definedName name="Documents_array">XL4Poppy!$B$1:$B$16</definedName>
    <definedName name="DSUMDATA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#REF!</definedName>
    <definedName name="gia_tien_BTN">#REF!</definedName>
    <definedName name="h" hidden="1">{"'Sheet1'!$L$16"}</definedName>
    <definedName name="Hello">XL4Poppy!$A$15</definedName>
    <definedName name="HH">#REF!</definedName>
    <definedName name="hien">#REF!</definedName>
    <definedName name="HOME_MANP">#REF!</definedName>
    <definedName name="HOMEOFFICE_COST">#REF!</definedName>
    <definedName name="hp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DLAB_COST">#REF!</definedName>
    <definedName name="INDMANP">#REF!</definedName>
    <definedName name="j356C8">#REF!</definedName>
    <definedName name="kcong">#REF!</definedName>
    <definedName name="m">#REF!</definedName>
    <definedName name="MAJ_CON_EQP">#REF!</definedName>
    <definedName name="MAY">{"Thuxm2.xls","Sheet1"}</definedName>
    <definedName name="MG_A">#REF!</definedName>
    <definedName name="NC">{"Thuxm2.xls","Sheet1"}</definedName>
    <definedName name="NET">#REF!</definedName>
    <definedName name="NET_1">#REF!</definedName>
    <definedName name="NET_ANA">#REF!</definedName>
    <definedName name="NET_ANA_1">#REF!</definedName>
    <definedName name="No">#REF!</definedName>
    <definedName name="NH">#REF!</definedName>
    <definedName name="NHot">#REF!</definedName>
    <definedName name="PA">#REF!</definedName>
    <definedName name="_xlnm.Print_Area">#REF!</definedName>
    <definedName name="_xlnm.Print_Titles" localSheetId="3">#REF!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tdg_cong">#REF!</definedName>
    <definedName name="ptdg_duong">#REF!</definedName>
    <definedName name="ph" hidden="1">{"'Sheet1'!$L$16"}</definedName>
    <definedName name="SORT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axTV">10%</definedName>
    <definedName name="TaxXL">5%</definedName>
    <definedName name="Tien">#REF!</definedName>
    <definedName name="tim_lan_xuat_hien">#REF!</definedName>
    <definedName name="tim_xuat_hien">#REF!</definedName>
    <definedName name="tthi">#REF!</definedName>
    <definedName name="ty_le_BTN">#REF!</definedName>
    <definedName name="ty_le1">#REF!</definedName>
    <definedName name="THVLK1">{"Thuxm2.xls","Sheet1"}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L_1">#REF!</definedName>
    <definedName name="TRAVL">#REF!</definedName>
    <definedName name="UBDT" hidden="1">{"'Sheet1'!$L$16"}</definedName>
    <definedName name="VARIINST">#REF!</definedName>
    <definedName name="VARIPURC">#REF!</definedName>
    <definedName name="W">#REF!</definedName>
    <definedName name="X">#REF!</definedName>
    <definedName name="xh">#REF!</definedName>
    <definedName name="xn">#REF!</definedName>
    <definedName name="ZYX">#REF!</definedName>
    <definedName name="ZZZ">#REF!</definedName>
  </definedNames>
  <calcPr calcId="144525"/>
</workbook>
</file>

<file path=xl/calcChain.xml><?xml version="1.0" encoding="utf-8"?>
<calcChain xmlns="http://schemas.openxmlformats.org/spreadsheetml/2006/main">
  <c r="G10" i="114" l="1"/>
  <c r="Q34" i="156" l="1"/>
  <c r="G33" i="156"/>
  <c r="I33" i="156" s="1"/>
  <c r="L33" i="156" s="1"/>
  <c r="M32" i="156"/>
  <c r="K32" i="156"/>
  <c r="I32" i="156"/>
  <c r="G32" i="156"/>
  <c r="L32" i="156" s="1"/>
  <c r="O31" i="156"/>
  <c r="I31" i="156"/>
  <c r="N31" i="156" s="1"/>
  <c r="F31" i="156"/>
  <c r="G31" i="156" s="1"/>
  <c r="O29" i="156"/>
  <c r="N29" i="156"/>
  <c r="M29" i="156"/>
  <c r="L29" i="156"/>
  <c r="J29" i="156"/>
  <c r="F29" i="156"/>
  <c r="E29" i="156"/>
  <c r="O27" i="156"/>
  <c r="I27" i="156"/>
  <c r="J27" i="156" s="1"/>
  <c r="H27" i="156"/>
  <c r="M27" i="156" s="1"/>
  <c r="G27" i="156"/>
  <c r="F27" i="156" s="1"/>
  <c r="E27" i="156"/>
  <c r="O26" i="156"/>
  <c r="J26" i="156"/>
  <c r="I26" i="156"/>
  <c r="N26" i="156" s="1"/>
  <c r="G26" i="156"/>
  <c r="L26" i="156" s="1"/>
  <c r="F26" i="156"/>
  <c r="O21" i="156"/>
  <c r="J21" i="156"/>
  <c r="I21" i="156"/>
  <c r="N21" i="156" s="1"/>
  <c r="H21" i="156"/>
  <c r="M21" i="156" s="1"/>
  <c r="G21" i="156"/>
  <c r="L21" i="156" s="1"/>
  <c r="F21" i="156"/>
  <c r="O20" i="156"/>
  <c r="I20" i="156"/>
  <c r="N20" i="156" s="1"/>
  <c r="H20" i="156"/>
  <c r="M20" i="156" s="1"/>
  <c r="G20" i="156"/>
  <c r="L20" i="156" s="1"/>
  <c r="F20" i="156"/>
  <c r="E20" i="156"/>
  <c r="O19" i="156"/>
  <c r="J19" i="156"/>
  <c r="I19" i="156"/>
  <c r="H19" i="156"/>
  <c r="M19" i="156" s="1"/>
  <c r="G19" i="156"/>
  <c r="L19" i="156" s="1"/>
  <c r="F19" i="156"/>
  <c r="O18" i="156"/>
  <c r="I18" i="156"/>
  <c r="J18" i="156" s="1"/>
  <c r="H18" i="156"/>
  <c r="G18" i="156"/>
  <c r="F18" i="156"/>
  <c r="E18" i="156"/>
  <c r="K17" i="156"/>
  <c r="F17" i="156"/>
  <c r="K16" i="156"/>
  <c r="J16" i="156"/>
  <c r="E16" i="156"/>
  <c r="J15" i="156"/>
  <c r="E15" i="156"/>
  <c r="K14" i="156"/>
  <c r="J14" i="156"/>
  <c r="F14" i="156"/>
  <c r="E14" i="156"/>
  <c r="O13" i="156"/>
  <c r="M13" i="156"/>
  <c r="J13" i="156"/>
  <c r="I13" i="156"/>
  <c r="N13" i="156" s="1"/>
  <c r="G13" i="156"/>
  <c r="L13" i="156" s="1"/>
  <c r="L12" i="156"/>
  <c r="K12" i="156"/>
  <c r="I12" i="156"/>
  <c r="F12" i="156"/>
  <c r="L11" i="156"/>
  <c r="K11" i="156" s="1"/>
  <c r="I11" i="156"/>
  <c r="F11" i="156"/>
  <c r="D9" i="156"/>
  <c r="O9" i="156" s="1"/>
  <c r="N27" i="156" l="1"/>
  <c r="J20" i="156"/>
  <c r="F13" i="156"/>
  <c r="F9" i="156" s="1"/>
  <c r="E9" i="156"/>
  <c r="E8" i="156" s="1"/>
  <c r="E7" i="156" s="1"/>
  <c r="E34" i="156" s="1"/>
  <c r="L27" i="156"/>
  <c r="K29" i="156"/>
  <c r="G9" i="156"/>
  <c r="G8" i="156" s="1"/>
  <c r="G7" i="156" s="1"/>
  <c r="K27" i="156"/>
  <c r="I9" i="156"/>
  <c r="I8" i="156" s="1"/>
  <c r="K13" i="156"/>
  <c r="J9" i="156"/>
  <c r="J8" i="156" s="1"/>
  <c r="J7" i="156" s="1"/>
  <c r="J34" i="156" s="1"/>
  <c r="F8" i="156"/>
  <c r="K20" i="156"/>
  <c r="K21" i="156"/>
  <c r="K19" i="156"/>
  <c r="H9" i="156"/>
  <c r="H8" i="156" s="1"/>
  <c r="H7" i="156" s="1"/>
  <c r="H34" i="156" s="1"/>
  <c r="L18" i="156"/>
  <c r="L9" i="156"/>
  <c r="L8" i="156" s="1"/>
  <c r="M18" i="156"/>
  <c r="M9" i="156" s="1"/>
  <c r="M8" i="156" s="1"/>
  <c r="M7" i="156" s="1"/>
  <c r="N19" i="156"/>
  <c r="K31" i="156"/>
  <c r="L31" i="156" s="1"/>
  <c r="D8" i="156"/>
  <c r="N18" i="156"/>
  <c r="K26" i="156"/>
  <c r="N9" i="156" l="1"/>
  <c r="N8" i="156"/>
  <c r="N7" i="156" s="1"/>
  <c r="I7" i="156"/>
  <c r="I34" i="156" s="1"/>
  <c r="O8" i="156"/>
  <c r="O7" i="156" s="1"/>
  <c r="D7" i="156"/>
  <c r="D34" i="156" s="1"/>
  <c r="M34" i="156"/>
  <c r="K18" i="156"/>
  <c r="K9" i="156" s="1"/>
  <c r="K8" i="156"/>
  <c r="L7" i="156"/>
  <c r="G34" i="156"/>
  <c r="F7" i="156"/>
  <c r="F34" i="156" s="1"/>
  <c r="O34" i="156" l="1"/>
  <c r="K7" i="156"/>
  <c r="K34" i="156" s="1"/>
  <c r="L34" i="156"/>
  <c r="N34" i="156"/>
  <c r="E9" i="114" l="1"/>
  <c r="F9" i="114"/>
  <c r="G9" i="114"/>
  <c r="D9" i="114"/>
  <c r="D16" i="114"/>
  <c r="I44" i="114" l="1"/>
  <c r="H44" i="114"/>
  <c r="D44" i="114"/>
  <c r="G44" i="114" s="1"/>
  <c r="K44" i="114" s="1"/>
  <c r="H43" i="114"/>
  <c r="D43" i="114"/>
  <c r="J43" i="114" s="1"/>
  <c r="I42" i="114"/>
  <c r="H42" i="114"/>
  <c r="D42" i="114"/>
  <c r="G42" i="114" s="1"/>
  <c r="K42" i="114" s="1"/>
  <c r="I41" i="114"/>
  <c r="H41" i="114"/>
  <c r="D41" i="114"/>
  <c r="G41" i="114" s="1"/>
  <c r="I40" i="114"/>
  <c r="H40" i="114"/>
  <c r="D40" i="114"/>
  <c r="G40" i="114" s="1"/>
  <c r="F39" i="114"/>
  <c r="E39" i="114"/>
  <c r="H39" i="114" s="1"/>
  <c r="J38" i="114"/>
  <c r="G38" i="114"/>
  <c r="K38" i="114" s="1"/>
  <c r="J37" i="114"/>
  <c r="G37" i="114"/>
  <c r="K37" i="114" s="1"/>
  <c r="J36" i="114"/>
  <c r="G36" i="114"/>
  <c r="K36" i="114" s="1"/>
  <c r="J35" i="114"/>
  <c r="G35" i="114"/>
  <c r="K35" i="114" s="1"/>
  <c r="J34" i="114"/>
  <c r="G34" i="114"/>
  <c r="K34" i="114" s="1"/>
  <c r="I33" i="114"/>
  <c r="H33" i="114"/>
  <c r="D33" i="114"/>
  <c r="J33" i="114" s="1"/>
  <c r="I32" i="114"/>
  <c r="H32" i="114"/>
  <c r="D32" i="114"/>
  <c r="J32" i="114" s="1"/>
  <c r="I31" i="114"/>
  <c r="H31" i="114"/>
  <c r="D31" i="114"/>
  <c r="J31" i="114" s="1"/>
  <c r="H30" i="114"/>
  <c r="D30" i="114"/>
  <c r="J30" i="114" s="1"/>
  <c r="I29" i="114"/>
  <c r="E29" i="114"/>
  <c r="H29" i="114" s="1"/>
  <c r="D29" i="114"/>
  <c r="J29" i="114" s="1"/>
  <c r="I28" i="114"/>
  <c r="H28" i="114"/>
  <c r="D28" i="114"/>
  <c r="J28" i="114" s="1"/>
  <c r="I27" i="114"/>
  <c r="H27" i="114"/>
  <c r="D27" i="114"/>
  <c r="J27" i="114" s="1"/>
  <c r="I26" i="114"/>
  <c r="H26" i="114"/>
  <c r="D26" i="114"/>
  <c r="J26" i="114" s="1"/>
  <c r="H25" i="114"/>
  <c r="D25" i="114"/>
  <c r="G25" i="114" s="1"/>
  <c r="K25" i="114" s="1"/>
  <c r="H24" i="114"/>
  <c r="G24" i="114" s="1"/>
  <c r="D24" i="114"/>
  <c r="H23" i="114"/>
  <c r="G23" i="114" s="1"/>
  <c r="K23" i="114" s="1"/>
  <c r="D23" i="114"/>
  <c r="H22" i="114"/>
  <c r="G22" i="114"/>
  <c r="D22" i="114"/>
  <c r="I21" i="114"/>
  <c r="H21" i="114"/>
  <c r="F21" i="114"/>
  <c r="D21" i="114"/>
  <c r="I20" i="114"/>
  <c r="E20" i="114"/>
  <c r="H20" i="114" s="1"/>
  <c r="G20" i="114" s="1"/>
  <c r="C20" i="114"/>
  <c r="E19" i="114"/>
  <c r="H19" i="114" s="1"/>
  <c r="G19" i="114" s="1"/>
  <c r="D19" i="114"/>
  <c r="I18" i="114"/>
  <c r="E18" i="114"/>
  <c r="H18" i="114" s="1"/>
  <c r="G18" i="114" s="1"/>
  <c r="D18" i="114"/>
  <c r="F17" i="114"/>
  <c r="I17" i="114" s="1"/>
  <c r="C17" i="114"/>
  <c r="D15" i="114"/>
  <c r="G15" i="114" s="1"/>
  <c r="D14" i="114"/>
  <c r="G14" i="114" s="1"/>
  <c r="I13" i="114"/>
  <c r="I12" i="114" s="1"/>
  <c r="I11" i="114" s="1"/>
  <c r="H13" i="114"/>
  <c r="G13" i="114" s="1"/>
  <c r="K13" i="114" s="1"/>
  <c r="D13" i="114"/>
  <c r="J13" i="114" s="1"/>
  <c r="F12" i="114"/>
  <c r="F11" i="114" s="1"/>
  <c r="E12" i="114"/>
  <c r="E11" i="114" s="1"/>
  <c r="D20" i="114" l="1"/>
  <c r="K20" i="114"/>
  <c r="D39" i="114"/>
  <c r="K24" i="114"/>
  <c r="G21" i="114"/>
  <c r="K21" i="114" s="1"/>
  <c r="K22" i="114"/>
  <c r="K19" i="114"/>
  <c r="K18" i="114"/>
  <c r="L17" i="114"/>
  <c r="F10" i="114"/>
  <c r="J39" i="114"/>
  <c r="G39" i="114"/>
  <c r="K39" i="114" s="1"/>
  <c r="K14" i="114"/>
  <c r="G12" i="114"/>
  <c r="H14" i="114"/>
  <c r="H12" i="114" s="1"/>
  <c r="H11" i="114" s="1"/>
  <c r="G27" i="114"/>
  <c r="K27" i="114" s="1"/>
  <c r="G31" i="114"/>
  <c r="K31" i="114" s="1"/>
  <c r="G33" i="114"/>
  <c r="K33" i="114" s="1"/>
  <c r="I39" i="114"/>
  <c r="I16" i="114" s="1"/>
  <c r="I10" i="114" s="1"/>
  <c r="I9" i="114" s="1"/>
  <c r="J25" i="114"/>
  <c r="E17" i="114"/>
  <c r="J42" i="114"/>
  <c r="G30" i="114"/>
  <c r="K30" i="114" s="1"/>
  <c r="F16" i="114"/>
  <c r="G29" i="114"/>
  <c r="K29" i="114" s="1"/>
  <c r="J14" i="114"/>
  <c r="J44" i="114"/>
  <c r="G26" i="114"/>
  <c r="K26" i="114" s="1"/>
  <c r="G28" i="114"/>
  <c r="K28" i="114" s="1"/>
  <c r="G32" i="114"/>
  <c r="K32" i="114" s="1"/>
  <c r="G43" i="114"/>
  <c r="K43" i="114" s="1"/>
  <c r="D12" i="114"/>
  <c r="E16" i="114" l="1"/>
  <c r="H17" i="114"/>
  <c r="H16" i="114" s="1"/>
  <c r="D17" i="114"/>
  <c r="D11" i="114"/>
  <c r="J12" i="114"/>
  <c r="H10" i="114"/>
  <c r="H9" i="114" s="1"/>
  <c r="G11" i="114"/>
  <c r="K12" i="114"/>
  <c r="K11" i="114" l="1"/>
  <c r="J17" i="114"/>
  <c r="G17" i="114"/>
  <c r="J16" i="114"/>
  <c r="E10" i="114"/>
  <c r="J11" i="114"/>
  <c r="D10" i="114"/>
  <c r="J9" i="114" l="1"/>
  <c r="J10" i="114"/>
  <c r="G16" i="114"/>
  <c r="K17" i="114"/>
  <c r="K16" i="114" l="1"/>
  <c r="K10" i="114" l="1"/>
  <c r="K9" i="114" l="1"/>
  <c r="L9" i="114"/>
  <c r="C1" i="55" l="1"/>
  <c r="C4" i="55"/>
  <c r="C5" i="55"/>
  <c r="C6" i="55"/>
  <c r="C7" i="55"/>
  <c r="C8" i="55"/>
  <c r="C9" i="55"/>
  <c r="C10" i="55"/>
  <c r="C11" i="55"/>
  <c r="C12" i="55"/>
  <c r="C13" i="55"/>
  <c r="C14" i="55"/>
  <c r="A15" i="55"/>
  <c r="A16" i="55"/>
  <c r="A17" i="55"/>
  <c r="C18" i="55"/>
  <c r="C19" i="55"/>
  <c r="C20" i="55"/>
  <c r="A21" i="55"/>
  <c r="C21" i="55"/>
  <c r="A22" i="55"/>
  <c r="C22" i="55"/>
  <c r="A23" i="55"/>
  <c r="C23" i="55"/>
  <c r="A24" i="55"/>
  <c r="A25" i="55"/>
  <c r="A26" i="55"/>
  <c r="A27" i="55"/>
  <c r="C27" i="55"/>
  <c r="A28" i="55"/>
  <c r="C28" i="55"/>
  <c r="A29" i="55"/>
  <c r="C29" i="55"/>
  <c r="A30" i="55"/>
  <c r="C30" i="55"/>
  <c r="A31" i="55"/>
  <c r="C31" i="55"/>
  <c r="A32" i="55"/>
  <c r="C32" i="55"/>
  <c r="A33" i="55"/>
  <c r="C33" i="55"/>
  <c r="A34" i="55"/>
  <c r="C34" i="55"/>
  <c r="A35" i="55"/>
  <c r="C35" i="55"/>
  <c r="A36" i="55"/>
  <c r="C36" i="55"/>
  <c r="A37" i="55"/>
  <c r="A38" i="55"/>
  <c r="A39" i="55"/>
  <c r="C39" i="55"/>
  <c r="A40" i="55"/>
  <c r="C40" i="55"/>
  <c r="A41" i="55"/>
  <c r="C41" i="55"/>
</calcChain>
</file>

<file path=xl/sharedStrings.xml><?xml version="1.0" encoding="utf-8"?>
<sst xmlns="http://schemas.openxmlformats.org/spreadsheetml/2006/main" count="148" uniqueCount="129">
  <si>
    <t>STT</t>
  </si>
  <si>
    <t>1.1</t>
  </si>
  <si>
    <t>1.2</t>
  </si>
  <si>
    <t>An ninh</t>
  </si>
  <si>
    <t>Nội dung</t>
  </si>
  <si>
    <t>THÀNH PHỐ PHỦ LÝ</t>
  </si>
  <si>
    <t>ỦY BAN NHÂN DÂN</t>
  </si>
  <si>
    <t>Trong đó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</si>
  <si>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</si>
  <si>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</si>
  <si>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</si>
  <si>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</si>
  <si>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</si>
  <si>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</si>
  <si>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</si>
  <si>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</si>
  <si>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</si>
  <si>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</si>
  <si>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</si>
  <si>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</si>
  <si>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Phan bo KH chi.2015.xls</t>
  </si>
  <si>
    <t>Quản lý nhà nước</t>
  </si>
  <si>
    <t>I</t>
  </si>
  <si>
    <t>SN giáo dục</t>
  </si>
  <si>
    <t>Hội</t>
  </si>
  <si>
    <t>Đơn vị tính: triệu đồng</t>
  </si>
  <si>
    <t>Chỉ tiêu chi NSNN</t>
  </si>
  <si>
    <t>Chi đầu tư XDCB</t>
  </si>
  <si>
    <t>Nguồn vốn tập trung</t>
  </si>
  <si>
    <t>Chi SN kinh tế</t>
  </si>
  <si>
    <t>Sự nghiệp nông nghiệp</t>
  </si>
  <si>
    <t>Sự nghiệp thủy lợi</t>
  </si>
  <si>
    <t>Sự nghiệp giao thông</t>
  </si>
  <si>
    <t>Sự nghiệp khác</t>
  </si>
  <si>
    <t>SN thị chính</t>
  </si>
  <si>
    <t>SN địa chính</t>
  </si>
  <si>
    <t>Bù thủy lợi phí</t>
  </si>
  <si>
    <t>Chi SN môi trường</t>
  </si>
  <si>
    <t>SN văn hóa thông tin</t>
  </si>
  <si>
    <t>SN phát thanh truyền hình</t>
  </si>
  <si>
    <t>SN thể dục thể thao</t>
  </si>
  <si>
    <t>SN đào tạo</t>
  </si>
  <si>
    <t>Chi đảm bảo xã hội</t>
  </si>
  <si>
    <t>SN y tế</t>
  </si>
  <si>
    <t>Quản lý hành chính</t>
  </si>
  <si>
    <t>Hội đồng nhân dân</t>
  </si>
  <si>
    <t>Kinh phí Đảng</t>
  </si>
  <si>
    <t>KP đoàn thể</t>
  </si>
  <si>
    <t>Chi an ninh- quốc phòng</t>
  </si>
  <si>
    <t>Quốc phòng</t>
  </si>
  <si>
    <t>Chi khác ngân sách</t>
  </si>
  <si>
    <t>Chi dự phòng</t>
  </si>
  <si>
    <t>Chi từ nguồn dự kiến tăng thu</t>
  </si>
  <si>
    <t>NSH</t>
  </si>
  <si>
    <t>NSX</t>
  </si>
  <si>
    <t>A</t>
  </si>
  <si>
    <t>B</t>
  </si>
  <si>
    <t>Chi thường xuyên</t>
  </si>
  <si>
    <t>1.3</t>
  </si>
  <si>
    <t>1.4</t>
  </si>
  <si>
    <t>1.5</t>
  </si>
  <si>
    <t>1.6</t>
  </si>
  <si>
    <t>1.7</t>
  </si>
  <si>
    <t>Tổng số</t>
  </si>
  <si>
    <t>I.1</t>
  </si>
  <si>
    <t>I.2</t>
  </si>
  <si>
    <t xml:space="preserve">So sánh </t>
  </si>
  <si>
    <t>Chi từ nguồn thu SD đất</t>
  </si>
  <si>
    <t>10.1</t>
  </si>
  <si>
    <t>10.2</t>
  </si>
  <si>
    <t>10.3</t>
  </si>
  <si>
    <t>10.4</t>
  </si>
  <si>
    <t>10.5</t>
  </si>
  <si>
    <t>Trong đó: 70% để thực hiện CCTL</t>
  </si>
  <si>
    <t>11.1</t>
  </si>
  <si>
    <t>11.2</t>
  </si>
  <si>
    <t>I.3</t>
  </si>
  <si>
    <t>Nguồn NST bố trí
 trong cân đối</t>
  </si>
  <si>
    <t>Chi trả nợ lãi vay - DA phát triển
 đô thị loại vừa và nhỏ TP Phủ Lý</t>
  </si>
  <si>
    <t>I.4</t>
  </si>
  <si>
    <t>I.5</t>
  </si>
  <si>
    <t>Tổng chi cân đối ( I.1+...I.5)</t>
  </si>
  <si>
    <t>TỔNG CHI NSNN  
ĐỊA PHƯƠNG ( I+II)</t>
  </si>
  <si>
    <t>Dự toán giao năm 2024</t>
  </si>
  <si>
    <t>Dự toán HĐND tỉnh giao năm 2025</t>
  </si>
  <si>
    <t>Dự toán HĐND TP giao năm 2025</t>
  </si>
  <si>
    <t>DT tỉnh giao 2025/DT tỉnh giao 2024</t>
  </si>
  <si>
    <t>DT TP giao năm 2025/DT tỉnh giao 2025</t>
  </si>
  <si>
    <t>ĐVT: triệu đồng</t>
  </si>
  <si>
    <t xml:space="preserve"> DT thu 
2024 tỉnh giao</t>
  </si>
  <si>
    <t xml:space="preserve">  DỰ TOÁN HĐND TỈNH GIAO
 NĂM 2025</t>
  </si>
  <si>
    <t>DỰ TOÁN HĐND THÀNH PHỐ PHẤN ĐẤU NĂM 2025</t>
  </si>
  <si>
    <t xml:space="preserve">SO SÁNH </t>
  </si>
  <si>
    <t>CC thuế
 quản lý</t>
  </si>
  <si>
    <t>NSĐP hưởng</t>
  </si>
  <si>
    <t>NS huyện hưởng</t>
  </si>
  <si>
    <t>NS xã hưởng</t>
  </si>
  <si>
    <t>Dự toán TP phấn đấu 2025/Dự toán tỉnh giao 2025</t>
  </si>
  <si>
    <t>Dự toán tỉnh giao 2025/DT tỉnh giao 2024</t>
  </si>
  <si>
    <t>Tổng các khoản thu CĐ</t>
  </si>
  <si>
    <t>Thu nội địa để cân đối</t>
  </si>
  <si>
    <t>Thu từ thuế phí và lệ phí</t>
  </si>
  <si>
    <t xml:space="preserve"> Thu từ XNQD TƯ</t>
  </si>
  <si>
    <t xml:space="preserve"> Thu từ XNQD ĐP</t>
  </si>
  <si>
    <t xml:space="preserve"> Thu từ XN có vốn NN</t>
  </si>
  <si>
    <t xml:space="preserve"> Thu từ KV CTN, dịch vụ NQD</t>
  </si>
  <si>
    <t>Thuế GTGT</t>
  </si>
  <si>
    <t>Thuế thu nhập DN</t>
  </si>
  <si>
    <t>Thuế tiêu thụ đặc biệt</t>
  </si>
  <si>
    <t>Thuế tài nguyên</t>
  </si>
  <si>
    <t>Lệ phí trước bạ</t>
  </si>
  <si>
    <t>Thuế sử dụng đất phi NN</t>
  </si>
  <si>
    <t>Thuế thu nhập cá nhân</t>
  </si>
  <si>
    <t>Thu phí và lệ phí</t>
  </si>
  <si>
    <t>Phí và lệ phí TW</t>
  </si>
  <si>
    <t>Phí và lệ phí tỉnh</t>
  </si>
  <si>
    <t>Phí và lệ phí huyện</t>
  </si>
  <si>
    <t>Phí và lệ phí xã</t>
  </si>
  <si>
    <t>Thu tiền thuê đất</t>
  </si>
  <si>
    <t>Thu khác ngân sách</t>
  </si>
  <si>
    <t>Thu cấp quyền KTKS</t>
  </si>
  <si>
    <t>Thu tiền sử dụng đất</t>
  </si>
  <si>
    <t>Thu tại xã</t>
  </si>
  <si>
    <t>Thu BS từ NS cấp trên</t>
  </si>
  <si>
    <t xml:space="preserve">Thu bổ sung CĐ </t>
  </si>
  <si>
    <t>Thu từ bổ sung có mục tiêu</t>
  </si>
  <si>
    <t>Tổng Cộng ( A+B)</t>
  </si>
  <si>
    <t>( Dự toán đã được HĐND Thành phố Phủ Lý phê chuẩn tại kỳ họp năm 2025)</t>
  </si>
  <si>
    <t>DỰ TOÁN THU NSNN ĐỊA PHƯƠNG NĂM 2025 THÀNH PHỐ PHỦ 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</si>
</sst>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\ _₫_-;\-* #,##0\ _₫_-;_-* &quot;-&quot;\ _₫_-;_-@_-"/>
    <numFmt numFmtId="164" formatCode="&quot;$&quot;#,##0_);[Red]\(&quot;$&quot;#,##0\)"/>
    <numFmt numFmtId="165" formatCode="_(* #,##0.00_);_(* \(#,##0.00\);_(* &quot;-&quot;??_);_(@_)"/>
    <numFmt numFmtId="166" formatCode="_-* #,##0.00\ _F_-;\-* #,##0.00\ _F_-;_-* &quot;-&quot;??\ _F_-;_-@_-"/>
    <numFmt numFmtId="167" formatCode="_-* #,##0_-;\-* #,##0_-;_-* &quot;-&quot;_-;_-@_-"/>
    <numFmt numFmtId="168" formatCode="&quot;?&quot;#,##0;&quot;?&quot;\-#,##0"/>
    <numFmt numFmtId="169" formatCode="0.0%"/>
    <numFmt numFmtId="170" formatCode="&quot;\&quot;#,##0;[Red]&quot;\&quot;\-#,##0"/>
    <numFmt numFmtId="171" formatCode="&quot;\&quot;#,##0.00;[Red]&quot;\&quot;\-#,##0.00"/>
    <numFmt numFmtId="172" formatCode="\$#,##0\ ;\(\$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_-* #,##0.00_-;\-* #,##0.00_-;_-* &quot;-&quot;??_-;_-@_-"/>
    <numFmt numFmtId="178" formatCode="00.000"/>
    <numFmt numFmtId="179" formatCode="_-* #,##0\ _F_-;\-* #,##0\ _F_-;_-* &quot;-&quot;??\ _F_-;_-@_-"/>
    <numFmt numFmtId="185" formatCode="_-* #,##0\ _F_B_-;\-* #,##0\ _F_B_-;_-* &quot;-&quot;??\ _F_B_-;_-@_-"/>
  </numFmts>
  <fonts count="58">
    <font>
      <sz val="14"/>
      <name val=".VnTime"/>
    </font>
    <font>
      <sz val="14"/>
      <name val=".VnTime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.VnTime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1"/>
      <name val="??"/>
      <family val="3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sz val="12"/>
      <name val="¹UAAA¼"/>
      <family val="3"/>
      <charset val="129"/>
    </font>
    <font>
      <b/>
      <sz val="18"/>
      <name val="Arial"/>
      <family val="2"/>
    </font>
    <font>
      <sz val="12"/>
      <name val="Arial"/>
      <family val="2"/>
    </font>
    <font>
      <b/>
      <i/>
      <sz val="16"/>
      <name val="Helv"/>
    </font>
    <font>
      <sz val="14"/>
      <name val=".Vn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2"/>
      <name val="Courier"/>
      <family val="3"/>
    </font>
    <font>
      <sz val="10"/>
      <name val=" "/>
      <family val="1"/>
      <charset val="136"/>
    </font>
    <font>
      <sz val="10"/>
      <name val="Arial"/>
      <family val="2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i/>
      <u/>
      <sz val="14"/>
      <name val="Times New Roman"/>
      <family val="1"/>
    </font>
    <font>
      <b/>
      <i/>
      <sz val="13"/>
      <name val="Times New Roman"/>
      <family val="1"/>
    </font>
    <font>
      <b/>
      <sz val="13.5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color indexed="10"/>
      <name val="Times New Roman"/>
      <family val="1"/>
    </font>
    <font>
      <sz val="12"/>
      <name val=".VnTime"/>
      <family val="2"/>
    </font>
    <font>
      <i/>
      <sz val="12"/>
      <name val="Times New Roman"/>
      <family val="1"/>
    </font>
    <font>
      <i/>
      <sz val="11"/>
      <name val="Times New Roman"/>
      <family val="1"/>
    </font>
    <font>
      <sz val="13"/>
      <name val=".VnTime"/>
      <family val="2"/>
    </font>
    <font>
      <b/>
      <sz val="13"/>
      <name val="Times New Roman"/>
      <family val="1"/>
    </font>
    <font>
      <b/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name val=".VnTime"/>
    </font>
    <font>
      <sz val="11"/>
      <color indexed="12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9"/>
      <name val=".VnTime"/>
      <family val="2"/>
    </font>
    <font>
      <b/>
      <sz val="8"/>
      <name val=".VnTimeH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178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" fillId="0" borderId="0"/>
    <xf numFmtId="0" fontId="2" fillId="0" borderId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0" fontId="16" fillId="0" borderId="0"/>
    <xf numFmtId="166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8" fillId="0" borderId="0" applyNumberFormat="0" applyFont="0" applyFill="0" applyAlignment="0"/>
    <xf numFmtId="0" fontId="19" fillId="0" borderId="0"/>
    <xf numFmtId="0" fontId="2" fillId="0" borderId="0"/>
    <xf numFmtId="0" fontId="44" fillId="0" borderId="0"/>
    <xf numFmtId="0" fontId="2" fillId="0" borderId="3" applyNumberFormat="0" applyFont="0" applyFill="0" applyAlignment="0" applyProtection="0"/>
    <xf numFmtId="0" fontId="20" fillId="0" borderId="0" applyNumberForma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8" fillId="0" borderId="0">
      <alignment vertical="center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1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0" fontId="26" fillId="0" borderId="0"/>
    <xf numFmtId="0" fontId="2" fillId="0" borderId="0"/>
    <xf numFmtId="0" fontId="18" fillId="0" borderId="0"/>
    <xf numFmtId="16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24" fillId="0" borderId="0" applyFont="0" applyFill="0" applyBorder="0" applyAlignment="0" applyProtection="0"/>
    <xf numFmtId="41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9"/>
    <xf numFmtId="0" fontId="0" fillId="0" borderId="0" xfId="0" applyProtection="1">
      <protection locked="0"/>
    </xf>
    <xf numFmtId="0" fontId="8" fillId="0" borderId="0" xfId="0" applyFont="1"/>
    <xf numFmtId="3" fontId="8" fillId="0" borderId="0" xfId="0" applyNumberFormat="1" applyFont="1"/>
    <xf numFmtId="0" fontId="6" fillId="0" borderId="0" xfId="0" applyFont="1"/>
    <xf numFmtId="0" fontId="30" fillId="2" borderId="0" xfId="46" applyFont="1" applyFill="1"/>
    <xf numFmtId="0" fontId="2" fillId="0" borderId="0" xfId="46"/>
    <xf numFmtId="0" fontId="2" fillId="2" borderId="0" xfId="46" applyFill="1"/>
    <xf numFmtId="0" fontId="2" fillId="3" borderId="5" xfId="46" applyFill="1" applyBorder="1"/>
    <xf numFmtId="0" fontId="2" fillId="4" borderId="6" xfId="46" applyFill="1" applyBorder="1"/>
    <xf numFmtId="0" fontId="31" fillId="5" borderId="7" xfId="46" applyFont="1" applyFill="1" applyBorder="1" applyAlignment="1">
      <alignment horizontal="center"/>
    </xf>
    <xf numFmtId="0" fontId="32" fillId="6" borderId="8" xfId="46" applyFont="1" applyFill="1" applyBorder="1" applyAlignment="1">
      <alignment horizontal="center"/>
    </xf>
    <xf numFmtId="0" fontId="31" fillId="5" borderId="8" xfId="46" applyFont="1" applyFill="1" applyBorder="1" applyAlignment="1">
      <alignment horizontal="center"/>
    </xf>
    <xf numFmtId="0" fontId="31" fillId="5" borderId="9" xfId="46" applyFont="1" applyFill="1" applyBorder="1" applyAlignment="1">
      <alignment horizontal="center"/>
    </xf>
    <xf numFmtId="0" fontId="2" fillId="4" borderId="10" xfId="46" applyFill="1" applyBorder="1"/>
    <xf numFmtId="0" fontId="2" fillId="3" borderId="11" xfId="46" applyFill="1" applyBorder="1"/>
    <xf numFmtId="0" fontId="2" fillId="4" borderId="11" xfId="46" applyFill="1" applyBorder="1"/>
    <xf numFmtId="0" fontId="2" fillId="3" borderId="12" xfId="46" applyFill="1" applyBorder="1"/>
    <xf numFmtId="0" fontId="33" fillId="0" borderId="0" xfId="0" applyFont="1"/>
    <xf numFmtId="0" fontId="7" fillId="0" borderId="0" xfId="0" applyFont="1"/>
    <xf numFmtId="3" fontId="6" fillId="0" borderId="0" xfId="0" applyNumberFormat="1" applyFont="1"/>
    <xf numFmtId="0" fontId="37" fillId="0" borderId="0" xfId="0" applyFont="1"/>
    <xf numFmtId="0" fontId="38" fillId="0" borderId="0" xfId="0" applyFont="1"/>
    <xf numFmtId="0" fontId="37" fillId="0" borderId="0" xfId="0" applyFont="1" applyFill="1"/>
    <xf numFmtId="0" fontId="7" fillId="0" borderId="13" xfId="0" applyFont="1" applyBorder="1"/>
    <xf numFmtId="3" fontId="7" fillId="0" borderId="13" xfId="0" applyNumberFormat="1" applyFont="1" applyBorder="1" applyAlignment="1">
      <alignment vertical="center"/>
    </xf>
    <xf numFmtId="0" fontId="8" fillId="0" borderId="13" xfId="0" applyFont="1" applyBorder="1"/>
    <xf numFmtId="3" fontId="8" fillId="0" borderId="13" xfId="0" applyNumberFormat="1" applyFont="1" applyBorder="1"/>
    <xf numFmtId="3" fontId="7" fillId="0" borderId="13" xfId="0" applyNumberFormat="1" applyFont="1" applyBorder="1"/>
    <xf numFmtId="3" fontId="45" fillId="0" borderId="13" xfId="0" applyNumberFormat="1" applyFont="1" applyBorder="1"/>
    <xf numFmtId="0" fontId="45" fillId="0" borderId="13" xfId="0" applyFont="1" applyBorder="1"/>
    <xf numFmtId="3" fontId="8" fillId="0" borderId="13" xfId="0" applyNumberFormat="1" applyFont="1" applyBorder="1" applyAlignment="1">
      <alignment vertical="center"/>
    </xf>
    <xf numFmtId="3" fontId="8" fillId="0" borderId="13" xfId="0" applyNumberFormat="1" applyFont="1" applyFill="1" applyBorder="1"/>
    <xf numFmtId="0" fontId="41" fillId="0" borderId="0" xfId="0" applyFont="1"/>
    <xf numFmtId="3" fontId="7" fillId="0" borderId="0" xfId="0" applyNumberFormat="1" applyFont="1"/>
    <xf numFmtId="0" fontId="47" fillId="0" borderId="0" xfId="0" applyFont="1"/>
    <xf numFmtId="0" fontId="6" fillId="0" borderId="4" xfId="0" applyFont="1" applyBorder="1"/>
    <xf numFmtId="3" fontId="6" fillId="0" borderId="4" xfId="0" applyNumberFormat="1" applyFont="1" applyBorder="1"/>
    <xf numFmtId="169" fontId="6" fillId="0" borderId="4" xfId="0" applyNumberFormat="1" applyFont="1" applyBorder="1"/>
    <xf numFmtId="3" fontId="8" fillId="6" borderId="0" xfId="0" applyNumberFormat="1" applyFont="1" applyFill="1"/>
    <xf numFmtId="0" fontId="45" fillId="0" borderId="4" xfId="0" applyFont="1" applyBorder="1"/>
    <xf numFmtId="3" fontId="45" fillId="0" borderId="4" xfId="0" applyNumberFormat="1" applyFont="1" applyBorder="1"/>
    <xf numFmtId="0" fontId="7" fillId="0" borderId="19" xfId="0" applyFont="1" applyBorder="1" applyAlignment="1">
      <alignment vertical="center" wrapText="1"/>
    </xf>
    <xf numFmtId="3" fontId="48" fillId="0" borderId="13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3" fontId="6" fillId="6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69" fontId="48" fillId="0" borderId="13" xfId="0" applyNumberFormat="1" applyFont="1" applyBorder="1" applyAlignment="1">
      <alignment vertical="center"/>
    </xf>
    <xf numFmtId="169" fontId="8" fillId="0" borderId="13" xfId="0" applyNumberFormat="1" applyFont="1" applyBorder="1"/>
    <xf numFmtId="0" fontId="8" fillId="0" borderId="13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169" fontId="7" fillId="0" borderId="13" xfId="0" applyNumberFormat="1" applyFont="1" applyBorder="1"/>
    <xf numFmtId="3" fontId="43" fillId="0" borderId="13" xfId="0" applyNumberFormat="1" applyFont="1" applyBorder="1"/>
    <xf numFmtId="3" fontId="7" fillId="0" borderId="20" xfId="0" applyNumberFormat="1" applyFont="1" applyBorder="1"/>
    <xf numFmtId="169" fontId="7" fillId="0" borderId="20" xfId="0" applyNumberFormat="1" applyFont="1" applyBorder="1"/>
    <xf numFmtId="0" fontId="46" fillId="0" borderId="0" xfId="0" applyFont="1" applyFill="1"/>
    <xf numFmtId="0" fontId="6" fillId="0" borderId="0" xfId="0" applyFont="1" applyBorder="1"/>
    <xf numFmtId="0" fontId="45" fillId="0" borderId="0" xfId="0" applyFont="1" applyBorder="1"/>
    <xf numFmtId="3" fontId="6" fillId="0" borderId="0" xfId="0" applyNumberFormat="1" applyFont="1" applyBorder="1"/>
    <xf numFmtId="3" fontId="45" fillId="0" borderId="0" xfId="0" applyNumberFormat="1" applyFont="1" applyBorder="1"/>
    <xf numFmtId="169" fontId="6" fillId="0" borderId="0" xfId="0" applyNumberFormat="1" applyFont="1" applyBorder="1"/>
    <xf numFmtId="3" fontId="34" fillId="6" borderId="0" xfId="0" applyNumberFormat="1" applyFont="1" applyFill="1" applyAlignment="1">
      <alignment wrapText="1"/>
    </xf>
    <xf numFmtId="169" fontId="45" fillId="0" borderId="13" xfId="0" applyNumberFormat="1" applyFont="1" applyBorder="1"/>
    <xf numFmtId="0" fontId="45" fillId="0" borderId="0" xfId="0" applyFont="1"/>
    <xf numFmtId="0" fontId="46" fillId="0" borderId="0" xfId="0" applyFont="1"/>
    <xf numFmtId="3" fontId="7" fillId="0" borderId="13" xfId="0" applyNumberFormat="1" applyFont="1" applyFill="1" applyBorder="1"/>
    <xf numFmtId="3" fontId="45" fillId="0" borderId="13" xfId="0" applyNumberFormat="1" applyFont="1" applyFill="1" applyBorder="1"/>
    <xf numFmtId="0" fontId="38" fillId="0" borderId="13" xfId="0" applyFont="1" applyBorder="1" applyAlignment="1">
      <alignment horizontal="center"/>
    </xf>
    <xf numFmtId="0" fontId="7" fillId="7" borderId="0" xfId="0" applyFont="1" applyFill="1"/>
    <xf numFmtId="3" fontId="7" fillId="7" borderId="0" xfId="0" applyNumberFormat="1" applyFont="1" applyFill="1"/>
    <xf numFmtId="0" fontId="7" fillId="0" borderId="19" xfId="0" applyFont="1" applyBorder="1" applyAlignment="1">
      <alignment horizontal="left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9" fontId="6" fillId="0" borderId="13" xfId="0" applyNumberFormat="1" applyFont="1" applyBorder="1"/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169" fontId="8" fillId="0" borderId="13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13" xfId="0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3" fontId="49" fillId="0" borderId="13" xfId="0" applyNumberFormat="1" applyFont="1" applyBorder="1" applyAlignment="1">
      <alignment vertical="center"/>
    </xf>
    <xf numFmtId="3" fontId="7" fillId="0" borderId="13" xfId="0" applyNumberFormat="1" applyFont="1" applyFill="1" applyBorder="1" applyAlignment="1">
      <alignment vertical="center"/>
    </xf>
    <xf numFmtId="169" fontId="7" fillId="0" borderId="1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8" fillId="0" borderId="2" xfId="0" applyFont="1" applyBorder="1" applyAlignment="1">
      <alignment horizontal="center" vertical="center" wrapText="1"/>
    </xf>
    <xf numFmtId="0" fontId="42" fillId="0" borderId="0" xfId="0" applyFont="1"/>
    <xf numFmtId="0" fontId="4" fillId="0" borderId="0" xfId="0" applyFont="1"/>
    <xf numFmtId="185" fontId="10" fillId="0" borderId="0" xfId="0" applyNumberFormat="1" applyFont="1"/>
    <xf numFmtId="0" fontId="5" fillId="0" borderId="0" xfId="0" applyFont="1" applyAlignment="1">
      <alignment horizontal="left"/>
    </xf>
    <xf numFmtId="0" fontId="39" fillId="0" borderId="0" xfId="0" applyFont="1"/>
    <xf numFmtId="0" fontId="38" fillId="0" borderId="25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6" xfId="0" applyFont="1" applyBorder="1" applyAlignment="1">
      <alignment horizontal="left" vertical="center"/>
    </xf>
    <xf numFmtId="3" fontId="38" fillId="0" borderId="16" xfId="0" applyNumberFormat="1" applyFont="1" applyBorder="1" applyAlignment="1">
      <alignment horizontal="right" vertical="center"/>
    </xf>
    <xf numFmtId="169" fontId="38" fillId="0" borderId="16" xfId="54" applyNumberFormat="1" applyFont="1" applyBorder="1" applyAlignment="1">
      <alignment horizontal="right" vertical="center"/>
    </xf>
    <xf numFmtId="3" fontId="51" fillId="0" borderId="14" xfId="53" applyNumberFormat="1" applyFont="1" applyFill="1" applyBorder="1"/>
    <xf numFmtId="0" fontId="38" fillId="0" borderId="13" xfId="0" applyFont="1" applyBorder="1" applyAlignment="1">
      <alignment horizontal="left"/>
    </xf>
    <xf numFmtId="3" fontId="50" fillId="0" borderId="13" xfId="53" applyNumberFormat="1" applyFont="1" applyBorder="1"/>
    <xf numFmtId="169" fontId="38" fillId="0" borderId="13" xfId="54" applyNumberFormat="1" applyFont="1" applyFill="1" applyBorder="1"/>
    <xf numFmtId="0" fontId="38" fillId="0" borderId="14" xfId="0" applyFont="1" applyBorder="1" applyAlignment="1">
      <alignment horizontal="center"/>
    </xf>
    <xf numFmtId="0" fontId="39" fillId="0" borderId="14" xfId="0" applyFont="1" applyBorder="1" applyAlignment="1">
      <alignment horizontal="left"/>
    </xf>
    <xf numFmtId="3" fontId="50" fillId="0" borderId="14" xfId="53" applyNumberFormat="1" applyFont="1" applyBorder="1"/>
    <xf numFmtId="169" fontId="38" fillId="0" borderId="13" xfId="54" applyNumberFormat="1" applyFont="1" applyBorder="1"/>
    <xf numFmtId="0" fontId="51" fillId="0" borderId="14" xfId="0" quotePrefix="1" applyFont="1" applyBorder="1" applyAlignment="1">
      <alignment horizontal="center"/>
    </xf>
    <xf numFmtId="0" fontId="51" fillId="0" borderId="14" xfId="0" applyFont="1" applyBorder="1"/>
    <xf numFmtId="3" fontId="51" fillId="0" borderId="14" xfId="53" applyNumberFormat="1" applyFont="1" applyBorder="1"/>
    <xf numFmtId="169" fontId="37" fillId="0" borderId="13" xfId="54" applyNumberFormat="1" applyFont="1" applyBorder="1"/>
    <xf numFmtId="169" fontId="37" fillId="0" borderId="18" xfId="54" applyNumberFormat="1" applyFont="1" applyBorder="1"/>
    <xf numFmtId="0" fontId="53" fillId="0" borderId="0" xfId="0" applyFont="1"/>
    <xf numFmtId="0" fontId="54" fillId="0" borderId="0" xfId="0" applyFont="1"/>
    <xf numFmtId="3" fontId="51" fillId="0" borderId="27" xfId="53" applyNumberFormat="1" applyFont="1" applyBorder="1"/>
    <xf numFmtId="3" fontId="51" fillId="0" borderId="27" xfId="53" applyNumberFormat="1" applyFont="1" applyFill="1" applyBorder="1"/>
    <xf numFmtId="0" fontId="51" fillId="0" borderId="0" xfId="0" applyFont="1"/>
    <xf numFmtId="0" fontId="51" fillId="0" borderId="14" xfId="0" quotePrefix="1" applyFont="1" applyFill="1" applyBorder="1" applyAlignment="1">
      <alignment horizontal="center" vertical="center"/>
    </xf>
    <xf numFmtId="0" fontId="51" fillId="0" borderId="14" xfId="0" applyFont="1" applyFill="1" applyBorder="1" applyAlignment="1">
      <alignment vertical="center" wrapText="1"/>
    </xf>
    <xf numFmtId="3" fontId="51" fillId="0" borderId="14" xfId="53" applyNumberFormat="1" applyFont="1" applyFill="1" applyBorder="1" applyAlignment="1">
      <alignment vertical="center"/>
    </xf>
    <xf numFmtId="169" fontId="37" fillId="0" borderId="13" xfId="54" applyNumberFormat="1" applyFont="1" applyFill="1" applyBorder="1" applyAlignment="1">
      <alignment vertical="center"/>
    </xf>
    <xf numFmtId="169" fontId="37" fillId="0" borderId="18" xfId="54" applyNumberFormat="1" applyFont="1" applyFill="1" applyBorder="1" applyAlignment="1">
      <alignment vertical="center"/>
    </xf>
    <xf numFmtId="0" fontId="51" fillId="0" borderId="0" xfId="0" applyFont="1" applyFill="1" applyAlignment="1">
      <alignment vertical="center"/>
    </xf>
    <xf numFmtId="185" fontId="46" fillId="0" borderId="14" xfId="16" quotePrefix="1" applyNumberFormat="1" applyFont="1" applyBorder="1" applyAlignment="1">
      <alignment horizontal="center"/>
    </xf>
    <xf numFmtId="0" fontId="46" fillId="0" borderId="14" xfId="0" applyFont="1" applyBorder="1" applyAlignment="1">
      <alignment horizontal="left"/>
    </xf>
    <xf numFmtId="3" fontId="46" fillId="0" borderId="14" xfId="53" applyNumberFormat="1" applyFont="1" applyBorder="1"/>
    <xf numFmtId="3" fontId="46" fillId="0" borderId="14" xfId="53" applyNumberFormat="1" applyFont="1" applyFill="1" applyBorder="1"/>
    <xf numFmtId="169" fontId="46" fillId="0" borderId="13" xfId="54" applyNumberFormat="1" applyFont="1" applyBorder="1"/>
    <xf numFmtId="169" fontId="46" fillId="0" borderId="18" xfId="54" applyNumberFormat="1" applyFont="1" applyBorder="1"/>
    <xf numFmtId="0" fontId="46" fillId="0" borderId="14" xfId="0" quotePrefix="1" applyFont="1" applyBorder="1" applyAlignment="1">
      <alignment horizontal="center"/>
    </xf>
    <xf numFmtId="0" fontId="46" fillId="0" borderId="14" xfId="0" applyFont="1" applyBorder="1"/>
    <xf numFmtId="0" fontId="51" fillId="0" borderId="14" xfId="0" quotePrefix="1" applyFont="1" applyFill="1" applyBorder="1" applyAlignment="1">
      <alignment horizontal="center"/>
    </xf>
    <xf numFmtId="0" fontId="51" fillId="0" borderId="14" xfId="0" applyFont="1" applyFill="1" applyBorder="1"/>
    <xf numFmtId="169" fontId="37" fillId="0" borderId="13" xfId="54" applyNumberFormat="1" applyFont="1" applyFill="1" applyBorder="1"/>
    <xf numFmtId="169" fontId="37" fillId="0" borderId="18" xfId="54" applyNumberFormat="1" applyFont="1" applyFill="1" applyBorder="1"/>
    <xf numFmtId="0" fontId="51" fillId="0" borderId="0" xfId="0" applyFont="1" applyFill="1"/>
    <xf numFmtId="0" fontId="51" fillId="0" borderId="0" xfId="0" applyFont="1" applyAlignment="1">
      <alignment horizontal="center"/>
    </xf>
    <xf numFmtId="3" fontId="37" fillId="0" borderId="14" xfId="53" applyNumberFormat="1" applyFont="1" applyFill="1" applyBorder="1"/>
    <xf numFmtId="0" fontId="51" fillId="0" borderId="14" xfId="0" applyFont="1" applyFill="1" applyBorder="1" applyAlignment="1">
      <alignment horizontal="center"/>
    </xf>
    <xf numFmtId="0" fontId="37" fillId="0" borderId="14" xfId="0" applyFont="1" applyFill="1" applyBorder="1" applyAlignment="1">
      <alignment horizontal="center"/>
    </xf>
    <xf numFmtId="0" fontId="37" fillId="0" borderId="14" xfId="0" applyFont="1" applyFill="1" applyBorder="1"/>
    <xf numFmtId="0" fontId="46" fillId="0" borderId="14" xfId="0" applyFont="1" applyFill="1" applyBorder="1" applyAlignment="1">
      <alignment horizontal="center"/>
    </xf>
    <xf numFmtId="0" fontId="46" fillId="0" borderId="14" xfId="0" applyFont="1" applyFill="1" applyBorder="1"/>
    <xf numFmtId="3" fontId="54" fillId="0" borderId="14" xfId="53" applyNumberFormat="1" applyFont="1" applyFill="1" applyBorder="1"/>
    <xf numFmtId="169" fontId="46" fillId="0" borderId="13" xfId="54" applyNumberFormat="1" applyFont="1" applyFill="1" applyBorder="1"/>
    <xf numFmtId="169" fontId="46" fillId="0" borderId="18" xfId="54" applyNumberFormat="1" applyFont="1" applyFill="1" applyBorder="1"/>
    <xf numFmtId="0" fontId="46" fillId="0" borderId="14" xfId="0" applyFont="1" applyFill="1" applyBorder="1" applyAlignment="1">
      <alignment horizontal="left"/>
    </xf>
    <xf numFmtId="0" fontId="51" fillId="0" borderId="14" xfId="0" applyFont="1" applyBorder="1" applyAlignment="1">
      <alignment horizontal="center"/>
    </xf>
    <xf numFmtId="0" fontId="37" fillId="0" borderId="14" xfId="0" quotePrefix="1" applyFont="1" applyBorder="1" applyAlignment="1">
      <alignment horizontal="center"/>
    </xf>
    <xf numFmtId="0" fontId="37" fillId="0" borderId="14" xfId="0" applyFont="1" applyBorder="1"/>
    <xf numFmtId="3" fontId="37" fillId="0" borderId="14" xfId="53" applyNumberFormat="1" applyFont="1" applyBorder="1" applyAlignment="1">
      <alignment horizontal="right"/>
    </xf>
    <xf numFmtId="0" fontId="50" fillId="0" borderId="14" xfId="0" applyFont="1" applyBorder="1" applyAlignment="1">
      <alignment horizontal="center"/>
    </xf>
    <xf numFmtId="0" fontId="50" fillId="0" borderId="14" xfId="0" applyFont="1" applyBorder="1"/>
    <xf numFmtId="3" fontId="55" fillId="0" borderId="14" xfId="53" applyNumberFormat="1" applyFont="1" applyBorder="1"/>
    <xf numFmtId="169" fontId="38" fillId="0" borderId="18" xfId="54" applyNumberFormat="1" applyFont="1" applyBorder="1"/>
    <xf numFmtId="0" fontId="50" fillId="0" borderId="0" xfId="0" applyFont="1"/>
    <xf numFmtId="0" fontId="50" fillId="0" borderId="14" xfId="0" applyFont="1" applyBorder="1" applyAlignment="1">
      <alignment horizontal="left"/>
    </xf>
    <xf numFmtId="0" fontId="38" fillId="0" borderId="27" xfId="0" applyFont="1" applyBorder="1" applyAlignment="1">
      <alignment horizontal="center"/>
    </xf>
    <xf numFmtId="0" fontId="38" fillId="0" borderId="27" xfId="0" applyFont="1" applyBorder="1"/>
    <xf numFmtId="3" fontId="38" fillId="0" borderId="14" xfId="53" applyNumberFormat="1" applyFont="1" applyBorder="1" applyAlignment="1">
      <alignment horizontal="right"/>
    </xf>
    <xf numFmtId="0" fontId="37" fillId="0" borderId="19" xfId="0" quotePrefix="1" applyFont="1" applyBorder="1" applyAlignment="1">
      <alignment horizontal="center"/>
    </xf>
    <xf numFmtId="0" fontId="37" fillId="0" borderId="19" xfId="0" applyFont="1" applyBorder="1"/>
    <xf numFmtId="3" fontId="37" fillId="0" borderId="13" xfId="53" applyNumberFormat="1" applyFont="1" applyBorder="1" applyAlignment="1">
      <alignment horizontal="right"/>
    </xf>
    <xf numFmtId="0" fontId="38" fillId="0" borderId="28" xfId="0" applyFont="1" applyBorder="1" applyAlignment="1">
      <alignment horizontal="center"/>
    </xf>
    <xf numFmtId="3" fontId="38" fillId="0" borderId="28" xfId="53" applyNumberFormat="1" applyFont="1" applyBorder="1" applyAlignment="1">
      <alignment horizontal="right"/>
    </xf>
    <xf numFmtId="169" fontId="38" fillId="0" borderId="4" xfId="54" applyNumberFormat="1" applyFont="1" applyBorder="1"/>
    <xf numFmtId="179" fontId="37" fillId="7" borderId="0" xfId="16" applyNumberFormat="1" applyFont="1" applyFill="1"/>
    <xf numFmtId="0" fontId="56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185" fontId="36" fillId="0" borderId="0" xfId="16" applyNumberFormat="1" applyFont="1" applyBorder="1"/>
    <xf numFmtId="169" fontId="40" fillId="0" borderId="0" xfId="54" applyNumberFormat="1" applyFont="1" applyBorder="1"/>
    <xf numFmtId="0" fontId="42" fillId="0" borderId="0" xfId="0" applyFont="1" applyBorder="1"/>
    <xf numFmtId="3" fontId="42" fillId="0" borderId="0" xfId="0" applyNumberFormat="1" applyFont="1"/>
    <xf numFmtId="3" fontId="38" fillId="0" borderId="0" xfId="53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5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AeE­ [0]_INQUIRY ¿μ¾÷AßAø " xfId="10"/>
    <cellStyle name="AeE­_INQUIRY ¿μ¾÷AßAø " xfId="11"/>
    <cellStyle name="AÞ¸¶ [0]_INQUIRY ¿?¾÷AßAø " xfId="12"/>
    <cellStyle name="AÞ¸¶_INQUIRY ¿?¾÷AßAø " xfId="13"/>
    <cellStyle name="C?AØ_¿?¾÷CoE² " xfId="14"/>
    <cellStyle name="C￥AØ_¿μ¾÷CoE² " xfId="15"/>
    <cellStyle name="Comma" xfId="16" builtinId="3"/>
    <cellStyle name="Comma [0]" xfId="53" builtinId="6"/>
    <cellStyle name="Comma 2" xfId="17"/>
    <cellStyle name="Comma0" xfId="18"/>
    <cellStyle name="Currency0" xfId="19"/>
    <cellStyle name="Date" xfId="20"/>
    <cellStyle name="Fixed" xfId="21"/>
    <cellStyle name="Header1" xfId="22"/>
    <cellStyle name="Header2" xfId="23"/>
    <cellStyle name="Heading 1" xfId="24" builtinId="16" customBuiltin="1"/>
    <cellStyle name="Heading 2" xfId="25" builtinId="17" customBuiltin="1"/>
    <cellStyle name="n" xfId="26"/>
    <cellStyle name="Normal" xfId="0" builtinId="0"/>
    <cellStyle name="Normal - Style1" xfId="27"/>
    <cellStyle name="Normal 2" xfId="28"/>
    <cellStyle name="Normal 2 2" xfId="29"/>
    <cellStyle name="Percent" xfId="54" builtinId="5"/>
    <cellStyle name="Total" xfId="30" builtinId="25" customBuiltin="1"/>
    <cellStyle name="xuan" xfId="31"/>
    <cellStyle name=" [0.00]_ Att. 1- Cover" xfId="32"/>
    <cellStyle name="_ Att. 1- Cover" xfId="33"/>
    <cellStyle name="?_ Att. 1- Cover" xfId="34"/>
    <cellStyle name="똿뗦먛귟 [0.00]_PRODUCT DETAIL Q1" xfId="35"/>
    <cellStyle name="똿뗦먛귟_PRODUCT DETAIL Q1" xfId="36"/>
    <cellStyle name="믅됞 [0.00]_PRODUCT DETAIL Q1" xfId="37"/>
    <cellStyle name="믅됞_PRODUCT DETAIL Q1" xfId="38"/>
    <cellStyle name="백분율_95" xfId="39"/>
    <cellStyle name="뷭?_BOOKSHIP" xfId="40"/>
    <cellStyle name="콤마 [0]_1202" xfId="41"/>
    <cellStyle name="콤마_1202" xfId="42"/>
    <cellStyle name="통화 [0]_1202" xfId="43"/>
    <cellStyle name="통화_1202" xfId="44"/>
    <cellStyle name="표준_(정보부문)월별인원계획" xfId="45"/>
    <cellStyle name="표준_kc-elec system check list" xfId="46"/>
    <cellStyle name="一般_00Q3902REV.1" xfId="47"/>
    <cellStyle name="千分位[0]_00Q3902REV.1" xfId="48"/>
    <cellStyle name="千分位_00Q3902REV.1" xfId="49"/>
    <cellStyle name="貨幣 [0]_00Q3902REV.1" xfId="50"/>
    <cellStyle name="貨幣[0]_BRE" xfId="51"/>
    <cellStyle name="貨幣_00Q3902REV.1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1038225</xdr:colOff>
      <xdr:row>0</xdr:row>
      <xdr:rowOff>0</xdr:rowOff>
    </xdr:from>
    <xdr:to>
      <xdr:col>1</xdr:col>
      <xdr:colOff>1819275</xdr:colOff>
      <xdr:row>0</xdr:row>
      <xdr:rowOff>0</xdr:rowOff>
    </xdr:to>
    <xdr:cxnSp macro="">
      <xdr:nvCxnSpPr>
        <xdr:cNvPr id="2" name="Straight Connector 1"/>
        <xdr:cNvCxnSpPr/>
      </xdr:nvCxnSpPr>
      <xdr:spPr>
        <a:xfrm>
          <a:off x="1343025" y="495300"/>
          <a:ext cx="781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D20" sqref="D20"/>
    </sheetView>
  </sheetViews>
  <sheetFormatPr defaultColWidth="8.796875" defaultRowHeight="11.25"/>
  <cols>
    <col min="1" max="1" width="3.19921875" style="109" customWidth="1"/>
    <col min="2" max="2" width="27.19921875" style="109" customWidth="1"/>
    <col min="3" max="3" width="10.796875" style="108" hidden="1" customWidth="1"/>
    <col min="4" max="4" width="9.59765625" style="108" customWidth="1"/>
    <col min="5" max="5" width="9.5" style="108" customWidth="1"/>
    <col min="6" max="6" width="9" style="108" customWidth="1"/>
    <col min="7" max="7" width="9.3984375" style="108" hidden="1" customWidth="1"/>
    <col min="8" max="8" width="8.09765625" style="108" hidden="1" customWidth="1"/>
    <col min="9" max="9" width="10.296875" style="108" customWidth="1"/>
    <col min="10" max="10" width="10.19921875" style="108" customWidth="1"/>
    <col min="11" max="11" width="9.69921875" style="108" customWidth="1"/>
    <col min="12" max="12" width="7.3984375" style="108" hidden="1" customWidth="1"/>
    <col min="13" max="13" width="7.796875" style="108" hidden="1" customWidth="1"/>
    <col min="14" max="14" width="9.19921875" style="108" customWidth="1"/>
    <col min="15" max="15" width="9.8984375" style="108" customWidth="1"/>
    <col min="16" max="16384" width="8.796875" style="109"/>
  </cols>
  <sheetData>
    <row r="1" spans="1:15" ht="18.75" customHeight="1">
      <c r="A1" s="199" t="s">
        <v>128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5" ht="19.5" customHeight="1">
      <c r="A2" s="104" t="s">
        <v>127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s="36" customFormat="1" ht="17.25">
      <c r="A3" s="92"/>
      <c r="B3" s="92"/>
      <c r="C3" s="92"/>
      <c r="D3" s="92"/>
      <c r="E3" s="92"/>
      <c r="F3" s="92"/>
      <c r="G3" s="92"/>
      <c r="H3" s="92"/>
      <c r="I3" s="92"/>
      <c r="J3" s="92"/>
      <c r="K3" s="106" t="s">
        <v>88</v>
      </c>
      <c r="L3" s="106"/>
      <c r="M3" s="106"/>
      <c r="N3" s="106"/>
      <c r="O3" s="106"/>
    </row>
    <row r="4" spans="1:15" ht="18.75">
      <c r="B4"/>
      <c r="C4" s="110"/>
      <c r="D4" s="111"/>
      <c r="E4" s="111"/>
      <c r="F4" s="111"/>
      <c r="G4" s="111"/>
      <c r="H4" s="111"/>
      <c r="I4" s="23"/>
      <c r="L4" s="34"/>
      <c r="M4" s="34"/>
      <c r="N4" s="34"/>
      <c r="O4" s="112"/>
    </row>
    <row r="5" spans="1:15" s="108" customFormat="1" ht="33" customHeight="1">
      <c r="A5" s="113" t="s">
        <v>0</v>
      </c>
      <c r="B5" s="113" t="s">
        <v>4</v>
      </c>
      <c r="C5" s="114" t="s">
        <v>89</v>
      </c>
      <c r="D5" s="115" t="s">
        <v>90</v>
      </c>
      <c r="E5" s="107"/>
      <c r="F5" s="107"/>
      <c r="G5" s="107"/>
      <c r="H5" s="116"/>
      <c r="I5" s="115" t="s">
        <v>91</v>
      </c>
      <c r="J5" s="107"/>
      <c r="K5" s="107"/>
      <c r="L5" s="107"/>
      <c r="M5" s="116"/>
      <c r="N5" s="115" t="s">
        <v>92</v>
      </c>
      <c r="O5" s="116"/>
    </row>
    <row r="6" spans="1:15" s="108" customFormat="1" ht="57.75" customHeight="1">
      <c r="A6" s="117"/>
      <c r="B6" s="117"/>
      <c r="C6" s="105"/>
      <c r="D6" s="118" t="s">
        <v>63</v>
      </c>
      <c r="E6" s="91" t="s">
        <v>93</v>
      </c>
      <c r="F6" s="91" t="s">
        <v>94</v>
      </c>
      <c r="G6" s="91" t="s">
        <v>95</v>
      </c>
      <c r="H6" s="91" t="s">
        <v>96</v>
      </c>
      <c r="I6" s="118" t="s">
        <v>63</v>
      </c>
      <c r="J6" s="91" t="s">
        <v>93</v>
      </c>
      <c r="K6" s="91" t="s">
        <v>94</v>
      </c>
      <c r="L6" s="91" t="s">
        <v>95</v>
      </c>
      <c r="M6" s="91" t="s">
        <v>96</v>
      </c>
      <c r="N6" s="119" t="s">
        <v>97</v>
      </c>
      <c r="O6" s="119" t="s">
        <v>98</v>
      </c>
    </row>
    <row r="7" spans="1:15" s="22" customFormat="1" ht="15">
      <c r="A7" s="120" t="s">
        <v>55</v>
      </c>
      <c r="B7" s="121" t="s">
        <v>99</v>
      </c>
      <c r="C7" s="122">
        <v>2650000</v>
      </c>
      <c r="D7" s="122">
        <f>D8</f>
        <v>7115710</v>
      </c>
      <c r="E7" s="122">
        <f t="shared" ref="E7:M7" si="0">E8</f>
        <v>7050350</v>
      </c>
      <c r="F7" s="122">
        <f>G7+H7</f>
        <v>2875540</v>
      </c>
      <c r="G7" s="122">
        <f t="shared" si="0"/>
        <v>2738583</v>
      </c>
      <c r="H7" s="122">
        <f t="shared" si="0"/>
        <v>136957</v>
      </c>
      <c r="I7" s="122">
        <f t="shared" si="0"/>
        <v>7182210</v>
      </c>
      <c r="J7" s="122">
        <f t="shared" si="0"/>
        <v>7061350</v>
      </c>
      <c r="K7" s="122">
        <f>L7+M7</f>
        <v>2875540</v>
      </c>
      <c r="L7" s="122">
        <f t="shared" si="0"/>
        <v>2738583</v>
      </c>
      <c r="M7" s="122">
        <f t="shared" si="0"/>
        <v>136957</v>
      </c>
      <c r="N7" s="123">
        <f>N8</f>
        <v>1.0093455185779072</v>
      </c>
      <c r="O7" s="123">
        <f>O8</f>
        <v>2.6851735849056602</v>
      </c>
    </row>
    <row r="8" spans="1:15" s="23" customFormat="1" ht="14.25">
      <c r="A8" s="68" t="s">
        <v>22</v>
      </c>
      <c r="B8" s="125" t="s">
        <v>100</v>
      </c>
      <c r="C8" s="126">
        <v>2650000</v>
      </c>
      <c r="D8" s="126">
        <f>D9+D29+D30</f>
        <v>7115710</v>
      </c>
      <c r="E8" s="126">
        <f>E9+E29+E30</f>
        <v>7050350</v>
      </c>
      <c r="F8" s="126">
        <f>G8+H8</f>
        <v>2875540</v>
      </c>
      <c r="G8" s="126">
        <f>G9+G29+G30</f>
        <v>2738583</v>
      </c>
      <c r="H8" s="126">
        <f>H9+H29+H30</f>
        <v>136957</v>
      </c>
      <c r="I8" s="126">
        <f>I9+I29+I30</f>
        <v>7182210</v>
      </c>
      <c r="J8" s="126">
        <f>J9+J29+J30</f>
        <v>7061350</v>
      </c>
      <c r="K8" s="126">
        <f>L8+M8</f>
        <v>2875540</v>
      </c>
      <c r="L8" s="126">
        <f>L9+L29+L30</f>
        <v>2738583</v>
      </c>
      <c r="M8" s="126">
        <f>M9+M29+M30</f>
        <v>136957</v>
      </c>
      <c r="N8" s="127">
        <f>I8/D8</f>
        <v>1.0093455185779072</v>
      </c>
      <c r="O8" s="127">
        <f>D8/C8</f>
        <v>2.6851735849056602</v>
      </c>
    </row>
    <row r="9" spans="1:15" s="23" customFormat="1" ht="14.25">
      <c r="A9" s="128" t="s">
        <v>64</v>
      </c>
      <c r="B9" s="129" t="s">
        <v>101</v>
      </c>
      <c r="C9" s="130">
        <v>449000</v>
      </c>
      <c r="D9" s="130">
        <f t="shared" ref="D9:J9" si="1">D10+D11+D12+D13+D18+D19+D20+D21+D26+D27+D28</f>
        <v>615710</v>
      </c>
      <c r="E9" s="130">
        <f t="shared" si="1"/>
        <v>550350</v>
      </c>
      <c r="F9" s="130">
        <f>F10+F11+F12+F13+F18+F19+F20+F21+F26+F27+F28</f>
        <v>273890</v>
      </c>
      <c r="G9" s="130">
        <f t="shared" si="1"/>
        <v>238583</v>
      </c>
      <c r="H9" s="130">
        <f t="shared" si="1"/>
        <v>36957</v>
      </c>
      <c r="I9" s="130">
        <f t="shared" si="1"/>
        <v>682210</v>
      </c>
      <c r="J9" s="130">
        <f t="shared" si="1"/>
        <v>561350</v>
      </c>
      <c r="K9" s="130">
        <f>K10+K11+K12+K13+K18+K19+K20+K21+K26+K27+K28</f>
        <v>273890</v>
      </c>
      <c r="L9" s="130">
        <f>L10+L11+L12+L13+L18+L19+L20+L21+L26+L27+L28</f>
        <v>238583</v>
      </c>
      <c r="M9" s="130">
        <f>M10+M11+M12+M13+M18+M19+M20+M21+M26+M27+M28</f>
        <v>36957</v>
      </c>
      <c r="N9" s="131">
        <f>I9/D9</f>
        <v>1.1080053921489013</v>
      </c>
      <c r="O9" s="131">
        <f>D9/C9</f>
        <v>1.3712917594654788</v>
      </c>
    </row>
    <row r="10" spans="1:15" s="137" customFormat="1" ht="24" customHeight="1">
      <c r="A10" s="132">
        <v>1</v>
      </c>
      <c r="B10" s="133" t="s">
        <v>102</v>
      </c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5"/>
      <c r="O10" s="136"/>
    </row>
    <row r="11" spans="1:15" s="138" customFormat="1" ht="24" customHeight="1">
      <c r="A11" s="132">
        <v>2</v>
      </c>
      <c r="B11" s="133" t="s">
        <v>103</v>
      </c>
      <c r="C11" s="134">
        <v>4200</v>
      </c>
      <c r="D11" s="134">
        <v>800</v>
      </c>
      <c r="E11" s="134"/>
      <c r="F11" s="134">
        <f>G11+H11</f>
        <v>400</v>
      </c>
      <c r="G11" s="134">
        <v>400</v>
      </c>
      <c r="H11" s="134"/>
      <c r="I11" s="134">
        <f>D11</f>
        <v>800</v>
      </c>
      <c r="J11" s="134"/>
      <c r="K11" s="134">
        <f>L11</f>
        <v>400</v>
      </c>
      <c r="L11" s="134">
        <f>G11</f>
        <v>400</v>
      </c>
      <c r="M11" s="134"/>
      <c r="N11" s="135"/>
      <c r="O11" s="136"/>
    </row>
    <row r="12" spans="1:15" s="141" customFormat="1" ht="24" customHeight="1">
      <c r="A12" s="132">
        <v>3</v>
      </c>
      <c r="B12" s="133" t="s">
        <v>104</v>
      </c>
      <c r="C12" s="139">
        <v>100</v>
      </c>
      <c r="D12" s="139">
        <v>80</v>
      </c>
      <c r="E12" s="139"/>
      <c r="F12" s="134">
        <f>G12+H12</f>
        <v>40</v>
      </c>
      <c r="G12" s="139">
        <v>40</v>
      </c>
      <c r="H12" s="139"/>
      <c r="I12" s="140">
        <f>D12</f>
        <v>80</v>
      </c>
      <c r="J12" s="139"/>
      <c r="K12" s="134">
        <f>L12</f>
        <v>40</v>
      </c>
      <c r="L12" s="139">
        <f>G12</f>
        <v>40</v>
      </c>
      <c r="M12" s="139"/>
      <c r="N12" s="135"/>
      <c r="O12" s="136"/>
    </row>
    <row r="13" spans="1:15" s="147" customFormat="1" ht="24" customHeight="1">
      <c r="A13" s="142">
        <v>4</v>
      </c>
      <c r="B13" s="143" t="s">
        <v>105</v>
      </c>
      <c r="C13" s="144">
        <v>226000</v>
      </c>
      <c r="D13" s="144">
        <v>328550</v>
      </c>
      <c r="E13" s="144">
        <v>328150</v>
      </c>
      <c r="F13" s="144">
        <f t="shared" ref="F13" si="2">SUM(F14:F17)</f>
        <v>16575</v>
      </c>
      <c r="G13" s="144">
        <f>12825-5</f>
        <v>12820</v>
      </c>
      <c r="H13" s="144">
        <v>5405</v>
      </c>
      <c r="I13" s="144">
        <f>D13+20000</f>
        <v>348550</v>
      </c>
      <c r="J13" s="144">
        <f>E13</f>
        <v>328150</v>
      </c>
      <c r="K13" s="144">
        <f t="shared" ref="K13" si="3">SUM(K14:K17)</f>
        <v>16575</v>
      </c>
      <c r="L13" s="144">
        <f>G13</f>
        <v>12820</v>
      </c>
      <c r="M13" s="144">
        <f>H13</f>
        <v>5405</v>
      </c>
      <c r="N13" s="145">
        <f>I13/D13</f>
        <v>1.0608735352305585</v>
      </c>
      <c r="O13" s="146">
        <f>D13/C13</f>
        <v>1.4537610619469026</v>
      </c>
    </row>
    <row r="14" spans="1:15" s="65" customFormat="1" ht="15" hidden="1">
      <c r="A14" s="148"/>
      <c r="B14" s="149" t="s">
        <v>106</v>
      </c>
      <c r="C14" s="150">
        <v>175800</v>
      </c>
      <c r="D14" s="150">
        <v>175800</v>
      </c>
      <c r="E14" s="150">
        <f>D14</f>
        <v>175800</v>
      </c>
      <c r="F14" s="150">
        <f>G14+H14</f>
        <v>13000</v>
      </c>
      <c r="G14" s="150">
        <v>9100</v>
      </c>
      <c r="H14" s="150">
        <v>3900</v>
      </c>
      <c r="I14" s="151">
        <v>175800</v>
      </c>
      <c r="J14" s="150">
        <f>I14</f>
        <v>175800</v>
      </c>
      <c r="K14" s="150">
        <f>L14+M14</f>
        <v>13000</v>
      </c>
      <c r="L14" s="150">
        <v>9100</v>
      </c>
      <c r="M14" s="150">
        <v>3900</v>
      </c>
      <c r="N14" s="152"/>
      <c r="O14" s="153"/>
    </row>
    <row r="15" spans="1:15" s="65" customFormat="1" ht="15" hidden="1">
      <c r="A15" s="154"/>
      <c r="B15" s="149" t="s">
        <v>107</v>
      </c>
      <c r="C15" s="150">
        <v>43000</v>
      </c>
      <c r="D15" s="150">
        <v>43000</v>
      </c>
      <c r="E15" s="150">
        <f>D15</f>
        <v>43000</v>
      </c>
      <c r="F15" s="150"/>
      <c r="G15" s="150"/>
      <c r="H15" s="150"/>
      <c r="I15" s="151">
        <v>43000</v>
      </c>
      <c r="J15" s="150">
        <f>I15</f>
        <v>43000</v>
      </c>
      <c r="K15" s="150"/>
      <c r="L15" s="150"/>
      <c r="M15" s="150"/>
      <c r="N15" s="152"/>
      <c r="O15" s="153"/>
    </row>
    <row r="16" spans="1:15" s="65" customFormat="1" ht="15" hidden="1">
      <c r="A16" s="154"/>
      <c r="B16" s="155" t="s">
        <v>108</v>
      </c>
      <c r="C16" s="150">
        <v>50</v>
      </c>
      <c r="D16" s="150">
        <v>50</v>
      </c>
      <c r="E16" s="150">
        <f>D16</f>
        <v>50</v>
      </c>
      <c r="F16" s="150"/>
      <c r="G16" s="150"/>
      <c r="H16" s="150"/>
      <c r="I16" s="151">
        <v>50</v>
      </c>
      <c r="J16" s="150">
        <f>I16</f>
        <v>50</v>
      </c>
      <c r="K16" s="150">
        <f t="shared" ref="K16:K21" si="4">L16+M16</f>
        <v>0</v>
      </c>
      <c r="L16" s="150"/>
      <c r="M16" s="150"/>
      <c r="N16" s="152"/>
      <c r="O16" s="153"/>
    </row>
    <row r="17" spans="1:16" s="65" customFormat="1" ht="15" hidden="1">
      <c r="A17" s="154"/>
      <c r="B17" s="155" t="s">
        <v>109</v>
      </c>
      <c r="C17" s="150">
        <v>7150</v>
      </c>
      <c r="D17" s="150">
        <v>7150</v>
      </c>
      <c r="E17" s="150">
        <v>150</v>
      </c>
      <c r="F17" s="150">
        <f>G17+H17</f>
        <v>3575</v>
      </c>
      <c r="G17" s="150">
        <v>3575</v>
      </c>
      <c r="H17" s="150"/>
      <c r="I17" s="151">
        <v>7150</v>
      </c>
      <c r="J17" s="150">
        <v>150</v>
      </c>
      <c r="K17" s="150">
        <f t="shared" si="4"/>
        <v>3575</v>
      </c>
      <c r="L17" s="150">
        <v>3575</v>
      </c>
      <c r="M17" s="150"/>
      <c r="N17" s="152"/>
      <c r="O17" s="153"/>
    </row>
    <row r="18" spans="1:16" s="160" customFormat="1" ht="19.5" customHeight="1">
      <c r="A18" s="156">
        <v>5</v>
      </c>
      <c r="B18" s="157" t="s">
        <v>110</v>
      </c>
      <c r="C18" s="124">
        <v>110800</v>
      </c>
      <c r="D18" s="124">
        <v>95200</v>
      </c>
      <c r="E18" s="124">
        <f>D18</f>
        <v>95200</v>
      </c>
      <c r="F18" s="124">
        <f>G18+H18</f>
        <v>95200</v>
      </c>
      <c r="G18" s="124">
        <f>83160+4323</f>
        <v>87483</v>
      </c>
      <c r="H18" s="124">
        <f>12040-4323</f>
        <v>7717</v>
      </c>
      <c r="I18" s="124">
        <f>D18</f>
        <v>95200</v>
      </c>
      <c r="J18" s="124">
        <f>I18</f>
        <v>95200</v>
      </c>
      <c r="K18" s="124">
        <f t="shared" si="4"/>
        <v>95200</v>
      </c>
      <c r="L18" s="124">
        <f t="shared" ref="L18:M21" si="5">G18</f>
        <v>87483</v>
      </c>
      <c r="M18" s="124">
        <f t="shared" si="5"/>
        <v>7717</v>
      </c>
      <c r="N18" s="158">
        <f>I18/D18</f>
        <v>1</v>
      </c>
      <c r="O18" s="159">
        <f>D18/C18</f>
        <v>0.8592057761732852</v>
      </c>
    </row>
    <row r="19" spans="1:16" s="141" customFormat="1" ht="19.5" customHeight="1">
      <c r="A19" s="132">
        <v>6</v>
      </c>
      <c r="B19" s="133" t="s">
        <v>111</v>
      </c>
      <c r="C19" s="134">
        <v>7400</v>
      </c>
      <c r="D19" s="134">
        <v>8030</v>
      </c>
      <c r="E19" s="124">
        <v>6500</v>
      </c>
      <c r="F19" s="124">
        <f>G19+H19</f>
        <v>8030</v>
      </c>
      <c r="G19" s="124">
        <f>3030-473</f>
        <v>2557</v>
      </c>
      <c r="H19" s="124">
        <f>5000+473</f>
        <v>5473</v>
      </c>
      <c r="I19" s="124">
        <f>D19</f>
        <v>8030</v>
      </c>
      <c r="J19" s="124">
        <f>E19</f>
        <v>6500</v>
      </c>
      <c r="K19" s="124">
        <f t="shared" si="4"/>
        <v>8030</v>
      </c>
      <c r="L19" s="124">
        <f t="shared" si="5"/>
        <v>2557</v>
      </c>
      <c r="M19" s="124">
        <f t="shared" si="5"/>
        <v>5473</v>
      </c>
      <c r="N19" s="135">
        <f>I19/D19</f>
        <v>1</v>
      </c>
      <c r="O19" s="136">
        <f>D19/C19</f>
        <v>1.085135135135135</v>
      </c>
      <c r="P19" s="161"/>
    </row>
    <row r="20" spans="1:16" s="160" customFormat="1" ht="19.5" customHeight="1">
      <c r="A20" s="156">
        <v>7</v>
      </c>
      <c r="B20" s="157" t="s">
        <v>112</v>
      </c>
      <c r="C20" s="124">
        <v>35000</v>
      </c>
      <c r="D20" s="124">
        <v>65000</v>
      </c>
      <c r="E20" s="124">
        <f>D20</f>
        <v>65000</v>
      </c>
      <c r="F20" s="124">
        <f>G20+H20</f>
        <v>45000</v>
      </c>
      <c r="G20" s="162">
        <f>31500-1027</f>
        <v>30473</v>
      </c>
      <c r="H20" s="162">
        <f>13500+1027</f>
        <v>14527</v>
      </c>
      <c r="I20" s="124">
        <f>D20+11000</f>
        <v>76000</v>
      </c>
      <c r="J20" s="124">
        <f>I20</f>
        <v>76000</v>
      </c>
      <c r="K20" s="124">
        <f t="shared" si="4"/>
        <v>45000</v>
      </c>
      <c r="L20" s="162">
        <f t="shared" si="5"/>
        <v>30473</v>
      </c>
      <c r="M20" s="162">
        <f t="shared" si="5"/>
        <v>14527</v>
      </c>
      <c r="N20" s="158">
        <f>I20/D20</f>
        <v>1.1692307692307693</v>
      </c>
      <c r="O20" s="159">
        <f>D20/C20</f>
        <v>1.8571428571428572</v>
      </c>
      <c r="P20" s="161"/>
    </row>
    <row r="21" spans="1:16" s="160" customFormat="1" ht="19.5" customHeight="1">
      <c r="A21" s="163">
        <v>8</v>
      </c>
      <c r="B21" s="157" t="s">
        <v>113</v>
      </c>
      <c r="C21" s="124">
        <v>7300</v>
      </c>
      <c r="D21" s="124">
        <v>18550</v>
      </c>
      <c r="E21" s="124">
        <v>9000</v>
      </c>
      <c r="F21" s="124">
        <f>G21+H21</f>
        <v>17145</v>
      </c>
      <c r="G21" s="124">
        <f>15610+155</f>
        <v>15765</v>
      </c>
      <c r="H21" s="124">
        <f>1535-155</f>
        <v>1380</v>
      </c>
      <c r="I21" s="124">
        <f>D21</f>
        <v>18550</v>
      </c>
      <c r="J21" s="124">
        <f>E21</f>
        <v>9000</v>
      </c>
      <c r="K21" s="124">
        <f t="shared" si="4"/>
        <v>17145</v>
      </c>
      <c r="L21" s="124">
        <f t="shared" si="5"/>
        <v>15765</v>
      </c>
      <c r="M21" s="124">
        <f t="shared" si="5"/>
        <v>1380</v>
      </c>
      <c r="N21" s="158">
        <f t="shared" ref="N21:N27" si="6">I21/D21</f>
        <v>1</v>
      </c>
      <c r="O21" s="159">
        <f>D21/C21</f>
        <v>2.5410958904109591</v>
      </c>
    </row>
    <row r="22" spans="1:16" s="24" customFormat="1" ht="15" hidden="1">
      <c r="A22" s="164"/>
      <c r="B22" s="165" t="s">
        <v>114</v>
      </c>
      <c r="C22" s="162"/>
      <c r="D22" s="162"/>
      <c r="E22" s="162"/>
      <c r="F22" s="124"/>
      <c r="G22" s="162"/>
      <c r="H22" s="162"/>
      <c r="I22" s="162"/>
      <c r="J22" s="162"/>
      <c r="K22" s="124"/>
      <c r="L22" s="162"/>
      <c r="M22" s="162"/>
      <c r="N22" s="158"/>
      <c r="O22" s="159"/>
    </row>
    <row r="23" spans="1:16" s="56" customFormat="1" ht="15" hidden="1">
      <c r="A23" s="166"/>
      <c r="B23" s="167" t="s">
        <v>115</v>
      </c>
      <c r="C23" s="151"/>
      <c r="D23" s="151"/>
      <c r="E23" s="151"/>
      <c r="F23" s="168"/>
      <c r="G23" s="151"/>
      <c r="H23" s="151"/>
      <c r="I23" s="151"/>
      <c r="J23" s="151"/>
      <c r="K23" s="168"/>
      <c r="L23" s="151"/>
      <c r="M23" s="151"/>
      <c r="N23" s="169"/>
      <c r="O23" s="170"/>
    </row>
    <row r="24" spans="1:16" s="56" customFormat="1" ht="15" hidden="1">
      <c r="A24" s="166"/>
      <c r="B24" s="167" t="s">
        <v>116</v>
      </c>
      <c r="C24" s="151"/>
      <c r="D24" s="151"/>
      <c r="E24" s="151"/>
      <c r="F24" s="168"/>
      <c r="G24" s="151"/>
      <c r="H24" s="151"/>
      <c r="I24" s="151"/>
      <c r="J24" s="151"/>
      <c r="K24" s="168"/>
      <c r="L24" s="151"/>
      <c r="M24" s="151"/>
      <c r="N24" s="169"/>
      <c r="O24" s="170"/>
    </row>
    <row r="25" spans="1:16" s="56" customFormat="1" ht="15" hidden="1">
      <c r="A25" s="166"/>
      <c r="B25" s="171" t="s">
        <v>117</v>
      </c>
      <c r="C25" s="151"/>
      <c r="D25" s="151"/>
      <c r="E25" s="151"/>
      <c r="F25" s="168"/>
      <c r="G25" s="151"/>
      <c r="H25" s="151"/>
      <c r="I25" s="151"/>
      <c r="J25" s="151"/>
      <c r="K25" s="168"/>
      <c r="L25" s="151"/>
      <c r="M25" s="151"/>
      <c r="N25" s="169"/>
      <c r="O25" s="170"/>
    </row>
    <row r="26" spans="1:16" s="160" customFormat="1" ht="21" customHeight="1">
      <c r="A26" s="163">
        <v>9</v>
      </c>
      <c r="B26" s="157" t="s">
        <v>118</v>
      </c>
      <c r="C26" s="124">
        <v>44200</v>
      </c>
      <c r="D26" s="124">
        <v>84500</v>
      </c>
      <c r="E26" s="124">
        <v>31500</v>
      </c>
      <c r="F26" s="124">
        <f>G26</f>
        <v>84500</v>
      </c>
      <c r="G26" s="124">
        <f>D26</f>
        <v>84500</v>
      </c>
      <c r="H26" s="124"/>
      <c r="I26" s="124">
        <f>D26+35000</f>
        <v>119500</v>
      </c>
      <c r="J26" s="124">
        <f>E26</f>
        <v>31500</v>
      </c>
      <c r="K26" s="124">
        <f>L26</f>
        <v>84500</v>
      </c>
      <c r="L26" s="124">
        <f>G26</f>
        <v>84500</v>
      </c>
      <c r="M26" s="124"/>
      <c r="N26" s="158">
        <f t="shared" si="6"/>
        <v>1.4142011834319526</v>
      </c>
      <c r="O26" s="159">
        <f>D26/C26</f>
        <v>1.911764705882353</v>
      </c>
    </row>
    <row r="27" spans="1:16" s="141" customFormat="1" ht="21" customHeight="1">
      <c r="A27" s="172">
        <v>10</v>
      </c>
      <c r="B27" s="133" t="s">
        <v>119</v>
      </c>
      <c r="C27" s="134">
        <v>14000</v>
      </c>
      <c r="D27" s="134">
        <v>15000</v>
      </c>
      <c r="E27" s="134">
        <f>D27</f>
        <v>15000</v>
      </c>
      <c r="F27" s="134">
        <f>G27+H27</f>
        <v>7000</v>
      </c>
      <c r="G27" s="134">
        <f>3500+1045</f>
        <v>4545</v>
      </c>
      <c r="H27" s="134">
        <f>3500-1045</f>
        <v>2455</v>
      </c>
      <c r="I27" s="124">
        <f>D27</f>
        <v>15000</v>
      </c>
      <c r="J27" s="134">
        <f>I27</f>
        <v>15000</v>
      </c>
      <c r="K27" s="134">
        <f>L27+M27</f>
        <v>7000</v>
      </c>
      <c r="L27" s="134">
        <f>G27</f>
        <v>4545</v>
      </c>
      <c r="M27" s="134">
        <f>H27</f>
        <v>2455</v>
      </c>
      <c r="N27" s="135">
        <f t="shared" si="6"/>
        <v>1</v>
      </c>
      <c r="O27" s="136">
        <f>D27/C27</f>
        <v>1.0714285714285714</v>
      </c>
    </row>
    <row r="28" spans="1:16" s="22" customFormat="1" ht="21" customHeight="1">
      <c r="A28" s="173">
        <v>11</v>
      </c>
      <c r="B28" s="174" t="s">
        <v>120</v>
      </c>
      <c r="C28" s="175"/>
      <c r="D28" s="175"/>
      <c r="E28" s="175"/>
      <c r="F28" s="175"/>
      <c r="G28" s="175"/>
      <c r="H28" s="175"/>
      <c r="I28" s="175">
        <v>500</v>
      </c>
      <c r="J28" s="175"/>
      <c r="K28" s="134"/>
      <c r="L28" s="175"/>
      <c r="M28" s="175"/>
      <c r="N28" s="135"/>
      <c r="O28" s="136"/>
    </row>
    <row r="29" spans="1:16" s="180" customFormat="1" ht="21" customHeight="1">
      <c r="A29" s="176" t="s">
        <v>65</v>
      </c>
      <c r="B29" s="177" t="s">
        <v>121</v>
      </c>
      <c r="C29" s="130">
        <v>2200000</v>
      </c>
      <c r="D29" s="130">
        <v>6500000</v>
      </c>
      <c r="E29" s="130">
        <f>D29</f>
        <v>6500000</v>
      </c>
      <c r="F29" s="130">
        <f>G29+H29</f>
        <v>2600000</v>
      </c>
      <c r="G29" s="130">
        <v>2500000</v>
      </c>
      <c r="H29" s="130">
        <v>100000</v>
      </c>
      <c r="I29" s="130">
        <v>6500000</v>
      </c>
      <c r="J29" s="130">
        <f>I29</f>
        <v>6500000</v>
      </c>
      <c r="K29" s="130">
        <f>L29+M29</f>
        <v>2600000</v>
      </c>
      <c r="L29" s="178">
        <f>G29</f>
        <v>2500000</v>
      </c>
      <c r="M29" s="130">
        <f>H29</f>
        <v>100000</v>
      </c>
      <c r="N29" s="131">
        <f>I29/D29</f>
        <v>1</v>
      </c>
      <c r="O29" s="179">
        <f>D29/C29</f>
        <v>2.9545454545454546</v>
      </c>
    </row>
    <row r="30" spans="1:16" s="180" customFormat="1" ht="21" customHeight="1">
      <c r="A30" s="176" t="s">
        <v>76</v>
      </c>
      <c r="B30" s="181" t="s">
        <v>122</v>
      </c>
      <c r="C30" s="130">
        <v>1000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O30" s="179"/>
    </row>
    <row r="31" spans="1:16" s="23" customFormat="1" ht="21" customHeight="1">
      <c r="A31" s="182" t="s">
        <v>56</v>
      </c>
      <c r="B31" s="183" t="s">
        <v>123</v>
      </c>
      <c r="C31" s="184">
        <v>905399</v>
      </c>
      <c r="D31" s="184">
        <v>1043647</v>
      </c>
      <c r="E31" s="184"/>
      <c r="F31" s="184">
        <f>D31</f>
        <v>1043647</v>
      </c>
      <c r="G31" s="184">
        <f>F31</f>
        <v>1043647</v>
      </c>
      <c r="H31" s="184"/>
      <c r="I31" s="184">
        <f>D31</f>
        <v>1043647</v>
      </c>
      <c r="J31" s="184"/>
      <c r="K31" s="184">
        <f>I31</f>
        <v>1043647</v>
      </c>
      <c r="L31" s="184">
        <f>K31</f>
        <v>1043647</v>
      </c>
      <c r="M31" s="184"/>
      <c r="N31" s="135">
        <f>I31/(D31-D33)</f>
        <v>1.0084997743636523</v>
      </c>
      <c r="O31" s="136">
        <f>D31/C31</f>
        <v>1.1526929011408229</v>
      </c>
    </row>
    <row r="32" spans="1:16" s="22" customFormat="1" ht="21" hidden="1" customHeight="1">
      <c r="A32" s="185"/>
      <c r="B32" s="186" t="s">
        <v>124</v>
      </c>
      <c r="C32" s="187">
        <v>896603</v>
      </c>
      <c r="D32" s="187">
        <v>896603</v>
      </c>
      <c r="E32" s="187"/>
      <c r="F32" s="187"/>
      <c r="G32" s="187">
        <f>D32</f>
        <v>896603</v>
      </c>
      <c r="H32" s="187"/>
      <c r="I32" s="187">
        <f>D32</f>
        <v>896603</v>
      </c>
      <c r="J32" s="187"/>
      <c r="K32" s="187">
        <f>F32</f>
        <v>0</v>
      </c>
      <c r="L32" s="187">
        <f>G32</f>
        <v>896603</v>
      </c>
      <c r="M32" s="187">
        <f>H32</f>
        <v>0</v>
      </c>
      <c r="N32" s="135"/>
      <c r="O32" s="136"/>
    </row>
    <row r="33" spans="1:17" s="22" customFormat="1" ht="21" hidden="1" customHeight="1">
      <c r="A33" s="185">
        <v>2</v>
      </c>
      <c r="B33" s="186" t="s">
        <v>125</v>
      </c>
      <c r="C33" s="187">
        <v>8796</v>
      </c>
      <c r="D33" s="187">
        <v>8796</v>
      </c>
      <c r="E33" s="187"/>
      <c r="F33" s="187"/>
      <c r="G33" s="187">
        <f>D33</f>
        <v>8796</v>
      </c>
      <c r="H33" s="187"/>
      <c r="I33" s="187">
        <f>G33</f>
        <v>8796</v>
      </c>
      <c r="J33" s="187"/>
      <c r="K33" s="187"/>
      <c r="L33" s="187">
        <f>I33</f>
        <v>8796</v>
      </c>
      <c r="M33" s="187"/>
      <c r="N33" s="135"/>
      <c r="O33" s="136"/>
    </row>
    <row r="34" spans="1:17" s="22" customFormat="1" ht="22.5" customHeight="1">
      <c r="A34" s="188"/>
      <c r="B34" s="188" t="s">
        <v>126</v>
      </c>
      <c r="C34" s="189">
        <v>3555399</v>
      </c>
      <c r="D34" s="189">
        <f t="shared" ref="D34:M34" si="7">D7+D31</f>
        <v>8159357</v>
      </c>
      <c r="E34" s="189">
        <f>E7+E31</f>
        <v>7050350</v>
      </c>
      <c r="F34" s="189">
        <f t="shared" si="7"/>
        <v>3919187</v>
      </c>
      <c r="G34" s="189">
        <f t="shared" si="7"/>
        <v>3782230</v>
      </c>
      <c r="H34" s="189">
        <f t="shared" si="7"/>
        <v>136957</v>
      </c>
      <c r="I34" s="189">
        <f t="shared" si="7"/>
        <v>8225857</v>
      </c>
      <c r="J34" s="189">
        <f t="shared" si="7"/>
        <v>7061350</v>
      </c>
      <c r="K34" s="189">
        <f t="shared" si="7"/>
        <v>3919187</v>
      </c>
      <c r="L34" s="189">
        <f t="shared" si="7"/>
        <v>3782230</v>
      </c>
      <c r="M34" s="189">
        <f t="shared" si="7"/>
        <v>136957</v>
      </c>
      <c r="N34" s="190">
        <f>I34/D34</f>
        <v>1.008150152027911</v>
      </c>
      <c r="O34" s="190">
        <f>D34/C34</f>
        <v>2.2949202044552526</v>
      </c>
      <c r="P34" s="198"/>
      <c r="Q34" s="191" t="e">
        <f>#REF!*0.7</f>
        <v>#REF!</v>
      </c>
    </row>
    <row r="35" spans="1:17" ht="21" customHeight="1">
      <c r="A35" s="192"/>
      <c r="B35" s="193"/>
      <c r="C35" s="194"/>
      <c r="D35" s="195"/>
      <c r="E35" s="194"/>
      <c r="F35" s="194"/>
      <c r="G35" s="194"/>
      <c r="H35" s="194"/>
      <c r="I35" s="194"/>
      <c r="J35" s="194"/>
      <c r="K35" s="194"/>
      <c r="L35" s="194"/>
      <c r="M35" s="194"/>
      <c r="N35" s="196"/>
      <c r="O35" s="196"/>
    </row>
    <row r="36" spans="1:17">
      <c r="E36" s="197"/>
      <c r="G36" s="197"/>
    </row>
    <row r="37" spans="1:17" ht="19.5" customHeight="1">
      <c r="J37" s="197"/>
      <c r="L37" s="197"/>
      <c r="N37" s="197"/>
    </row>
    <row r="38" spans="1:17" ht="18" customHeight="1"/>
    <row r="39" spans="1:17" ht="18" customHeight="1"/>
    <row r="40" spans="1:17" ht="18" customHeight="1"/>
    <row r="41" spans="1:17" ht="18" customHeight="1"/>
    <row r="42" spans="1:17" ht="18" customHeight="1"/>
  </sheetData>
  <mergeCells count="10">
    <mergeCell ref="P19:P20"/>
    <mergeCell ref="A1:O1"/>
    <mergeCell ref="A2:O2"/>
    <mergeCell ref="K3:O3"/>
    <mergeCell ref="A5:A6"/>
    <mergeCell ref="B5:B6"/>
    <mergeCell ref="C5:C6"/>
    <mergeCell ref="D5:H5"/>
    <mergeCell ref="I5:M5"/>
    <mergeCell ref="N5:O5"/>
  </mergeCells>
  <pageMargins left="0.3" right="0.17" top="0.25" bottom="0.74803149606299213" header="0.19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4" workbookViewId="0">
      <selection activeCell="O15" sqref="O15"/>
    </sheetView>
  </sheetViews>
  <sheetFormatPr defaultColWidth="8.69921875" defaultRowHeight="15.75"/>
  <cols>
    <col min="1" max="1" width="4.3984375" style="3" customWidth="1"/>
    <col min="2" max="2" width="25.296875" style="3" customWidth="1"/>
    <col min="3" max="3" width="10.296875" style="3" customWidth="1"/>
    <col min="4" max="4" width="9.5" style="3" customWidth="1"/>
    <col min="5" max="5" width="9.296875" style="3" hidden="1" customWidth="1"/>
    <col min="6" max="6" width="8.5" style="3" hidden="1" customWidth="1"/>
    <col min="7" max="7" width="9.09765625" style="3" customWidth="1"/>
    <col min="8" max="8" width="9.5" style="3" hidden="1" customWidth="1"/>
    <col min="9" max="9" width="9.296875" style="3" hidden="1" customWidth="1"/>
    <col min="10" max="10" width="8.796875" style="3" customWidth="1"/>
    <col min="11" max="11" width="8.69921875" style="3" customWidth="1"/>
    <col min="12" max="12" width="8.8984375" style="3" bestFit="1" customWidth="1"/>
    <col min="13" max="16384" width="8.69921875" style="3"/>
  </cols>
  <sheetData>
    <row r="1" spans="1:14" ht="24.75" hidden="1" customHeight="1">
      <c r="A1" s="101" t="s">
        <v>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4" ht="22.5" hidden="1" customHeight="1">
      <c r="A2" s="102" t="s">
        <v>5</v>
      </c>
      <c r="B2" s="101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4" ht="14.25" hidden="1" customHeight="1">
      <c r="A3" s="101"/>
      <c r="B3" s="101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ht="30.75" customHeight="1">
      <c r="A4" s="103" t="s">
        <v>128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</row>
    <row r="5" spans="1:14" ht="24.75" customHeight="1">
      <c r="A5" s="100" t="s">
        <v>127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62"/>
      <c r="M5" s="19"/>
    </row>
    <row r="6" spans="1:14" ht="19.5">
      <c r="E6" s="4"/>
      <c r="F6" s="4"/>
      <c r="H6" s="4"/>
      <c r="I6" s="93" t="s">
        <v>25</v>
      </c>
      <c r="J6" s="93"/>
      <c r="K6" s="93"/>
      <c r="L6" s="40"/>
      <c r="M6" s="19"/>
    </row>
    <row r="7" spans="1:14" s="20" customFormat="1" ht="23.25" customHeight="1">
      <c r="A7" s="94" t="s">
        <v>0</v>
      </c>
      <c r="B7" s="94" t="s">
        <v>26</v>
      </c>
      <c r="C7" s="94" t="s">
        <v>83</v>
      </c>
      <c r="D7" s="94" t="s">
        <v>84</v>
      </c>
      <c r="E7" s="96" t="s">
        <v>7</v>
      </c>
      <c r="F7" s="97"/>
      <c r="G7" s="94" t="s">
        <v>85</v>
      </c>
      <c r="H7" s="96" t="s">
        <v>7</v>
      </c>
      <c r="I7" s="97"/>
      <c r="J7" s="98" t="s">
        <v>66</v>
      </c>
      <c r="K7" s="99"/>
      <c r="L7" s="35"/>
    </row>
    <row r="8" spans="1:14" s="20" customFormat="1" ht="62.25" customHeight="1">
      <c r="A8" s="95"/>
      <c r="B8" s="95"/>
      <c r="C8" s="95"/>
      <c r="D8" s="95"/>
      <c r="E8" s="88" t="s">
        <v>53</v>
      </c>
      <c r="F8" s="89" t="s">
        <v>54</v>
      </c>
      <c r="G8" s="95"/>
      <c r="H8" s="88" t="s">
        <v>53</v>
      </c>
      <c r="I8" s="89" t="s">
        <v>54</v>
      </c>
      <c r="J8" s="90" t="s">
        <v>86</v>
      </c>
      <c r="K8" s="90" t="s">
        <v>87</v>
      </c>
      <c r="L8" s="35"/>
    </row>
    <row r="9" spans="1:14" s="47" customFormat="1" ht="34.5" customHeight="1">
      <c r="A9" s="43"/>
      <c r="B9" s="71" t="s">
        <v>82</v>
      </c>
      <c r="C9" s="44">
        <v>2020924</v>
      </c>
      <c r="D9" s="44">
        <f>D10</f>
        <v>3919187</v>
      </c>
      <c r="E9" s="44">
        <f t="shared" ref="E9:G9" si="0">E10</f>
        <v>3659189</v>
      </c>
      <c r="F9" s="44">
        <f t="shared" si="0"/>
        <v>260000</v>
      </c>
      <c r="G9" s="44">
        <f t="shared" si="0"/>
        <v>3919187</v>
      </c>
      <c r="H9" s="44" t="e">
        <f>H10+#REF!</f>
        <v>#REF!</v>
      </c>
      <c r="I9" s="44" t="e">
        <f>I10+#REF!</f>
        <v>#REF!</v>
      </c>
      <c r="J9" s="48">
        <f>D9/C9</f>
        <v>1.9393044963590911</v>
      </c>
      <c r="K9" s="48">
        <f>G9/D9</f>
        <v>1</v>
      </c>
      <c r="L9" s="45">
        <f>G9-D9</f>
        <v>0</v>
      </c>
      <c r="M9" s="46"/>
    </row>
    <row r="10" spans="1:14" s="20" customFormat="1" ht="19.5" customHeight="1">
      <c r="A10" s="25" t="s">
        <v>22</v>
      </c>
      <c r="B10" s="25" t="s">
        <v>81</v>
      </c>
      <c r="C10" s="29">
        <v>2012129</v>
      </c>
      <c r="D10" s="29">
        <f>D11+D16+D43+D44+D45</f>
        <v>3919187</v>
      </c>
      <c r="E10" s="29">
        <f>E11+E16+E43+E44+E45+3</f>
        <v>3659189</v>
      </c>
      <c r="F10" s="29">
        <f>F11+F16+F43+F44+F45-2</f>
        <v>260000</v>
      </c>
      <c r="G10" s="29">
        <f>G11+G16+G43+G44+G45</f>
        <v>3919187</v>
      </c>
      <c r="H10" s="29">
        <f>H11+H16+H43+H44+H45+2</f>
        <v>3659188</v>
      </c>
      <c r="I10" s="29">
        <f>I11+I16+I43+I44+I45-2</f>
        <v>260000</v>
      </c>
      <c r="J10" s="49">
        <f>D10/C10</f>
        <v>1.9477811810276577</v>
      </c>
      <c r="K10" s="49">
        <f>G10/D10</f>
        <v>1</v>
      </c>
      <c r="L10" s="35"/>
      <c r="M10" s="35"/>
    </row>
    <row r="11" spans="1:14" s="20" customFormat="1" ht="19.5" customHeight="1">
      <c r="A11" s="25" t="s">
        <v>64</v>
      </c>
      <c r="B11" s="25" t="s">
        <v>27</v>
      </c>
      <c r="C11" s="29">
        <v>947324</v>
      </c>
      <c r="D11" s="29">
        <f t="shared" ref="D11:I11" si="1">D12</f>
        <v>2626518</v>
      </c>
      <c r="E11" s="29">
        <f t="shared" si="1"/>
        <v>2526518</v>
      </c>
      <c r="F11" s="29">
        <f t="shared" si="1"/>
        <v>100000</v>
      </c>
      <c r="G11" s="29">
        <f t="shared" si="1"/>
        <v>2626518</v>
      </c>
      <c r="H11" s="29">
        <f t="shared" si="1"/>
        <v>2526518</v>
      </c>
      <c r="I11" s="29">
        <f t="shared" si="1"/>
        <v>100000</v>
      </c>
      <c r="J11" s="49">
        <f>D11/C11</f>
        <v>2.7725656691902665</v>
      </c>
      <c r="K11" s="49">
        <f>G11/D11</f>
        <v>1</v>
      </c>
      <c r="L11" s="35"/>
    </row>
    <row r="12" spans="1:14" s="20" customFormat="1" ht="19.5" customHeight="1">
      <c r="A12" s="27">
        <v>1</v>
      </c>
      <c r="B12" s="27" t="s">
        <v>27</v>
      </c>
      <c r="C12" s="28">
        <v>947324</v>
      </c>
      <c r="D12" s="28">
        <f>D13+D14+D15</f>
        <v>2626518</v>
      </c>
      <c r="E12" s="28">
        <f>E13+E14+E15</f>
        <v>2526518</v>
      </c>
      <c r="F12" s="28">
        <f>F13+F14+F15</f>
        <v>100000</v>
      </c>
      <c r="G12" s="28">
        <f>G13+G14+G15</f>
        <v>2626518</v>
      </c>
      <c r="H12" s="28">
        <f>H13+H14</f>
        <v>2526518</v>
      </c>
      <c r="I12" s="28">
        <f>I13+I14</f>
        <v>100000</v>
      </c>
      <c r="J12" s="49">
        <f t="shared" ref="J12:J44" si="2">D12/C12</f>
        <v>2.7725656691902665</v>
      </c>
      <c r="K12" s="49">
        <f>G12/D12</f>
        <v>1</v>
      </c>
      <c r="L12" s="35"/>
      <c r="M12" s="35"/>
      <c r="N12" s="35"/>
    </row>
    <row r="13" spans="1:14" ht="19.5" customHeight="1">
      <c r="A13" s="50" t="s">
        <v>1</v>
      </c>
      <c r="B13" s="27" t="s">
        <v>67</v>
      </c>
      <c r="C13" s="28">
        <v>920000</v>
      </c>
      <c r="D13" s="28">
        <f>E13+F13</f>
        <v>2600000</v>
      </c>
      <c r="E13" s="28">
        <v>2500000</v>
      </c>
      <c r="F13" s="28">
        <v>100000</v>
      </c>
      <c r="G13" s="28">
        <f>H13+I13</f>
        <v>2600000</v>
      </c>
      <c r="H13" s="28">
        <f>E13</f>
        <v>2500000</v>
      </c>
      <c r="I13" s="28">
        <f>F13</f>
        <v>100000</v>
      </c>
      <c r="J13" s="49">
        <f>D13/C13</f>
        <v>2.8260869565217392</v>
      </c>
      <c r="K13" s="49">
        <f>G13/D13</f>
        <v>1</v>
      </c>
      <c r="L13" s="4"/>
      <c r="M13" s="4"/>
      <c r="N13" s="4"/>
    </row>
    <row r="14" spans="1:14" ht="19.5" customHeight="1">
      <c r="A14" s="50" t="s">
        <v>2</v>
      </c>
      <c r="B14" s="27" t="s">
        <v>28</v>
      </c>
      <c r="C14" s="28">
        <v>27324</v>
      </c>
      <c r="D14" s="28">
        <f>E14</f>
        <v>26518</v>
      </c>
      <c r="E14" s="28">
        <v>26518</v>
      </c>
      <c r="F14" s="28"/>
      <c r="G14" s="28">
        <f>D14</f>
        <v>26518</v>
      </c>
      <c r="H14" s="28">
        <f>G14</f>
        <v>26518</v>
      </c>
      <c r="I14" s="28"/>
      <c r="J14" s="49">
        <f t="shared" si="2"/>
        <v>0.97050212267603575</v>
      </c>
      <c r="K14" s="49">
        <f t="shared" ref="K14:K44" si="3">G14/D14</f>
        <v>1</v>
      </c>
      <c r="L14" s="4"/>
      <c r="N14" s="4"/>
    </row>
    <row r="15" spans="1:14" s="75" customFormat="1" ht="35.25" customHeight="1">
      <c r="A15" s="76" t="s">
        <v>58</v>
      </c>
      <c r="B15" s="77" t="s">
        <v>77</v>
      </c>
      <c r="C15" s="32"/>
      <c r="D15" s="32">
        <f>E15</f>
        <v>0</v>
      </c>
      <c r="E15" s="32"/>
      <c r="F15" s="80"/>
      <c r="G15" s="32">
        <f>D15</f>
        <v>0</v>
      </c>
      <c r="H15" s="32"/>
      <c r="I15" s="32"/>
      <c r="J15" s="78"/>
      <c r="K15" s="78"/>
      <c r="L15" s="79"/>
      <c r="M15" s="79"/>
      <c r="N15" s="79"/>
    </row>
    <row r="16" spans="1:14" s="20" customFormat="1" ht="19.5" customHeight="1">
      <c r="A16" s="51" t="s">
        <v>65</v>
      </c>
      <c r="B16" s="25" t="s">
        <v>57</v>
      </c>
      <c r="C16" s="29">
        <v>1013698</v>
      </c>
      <c r="D16" s="29">
        <f>D17+D25+D26+D27+D28+D29+D30+D31+D32+D33+D39+D42-2</f>
        <v>1229897</v>
      </c>
      <c r="E16" s="29">
        <f>E17+E25+E26+E27+E28+E29+E30+E31+E32+E33+E39+E42</f>
        <v>1074870</v>
      </c>
      <c r="F16" s="66">
        <f>F17+F25+F26+F27+F28+F29+F30+F31+F32+F33+F39+F42-1</f>
        <v>155028</v>
      </c>
      <c r="G16" s="29">
        <f>G17+G25+G26+G27+G28+G29+G30+G31+G32+G33+G39+G42-2</f>
        <v>1229897</v>
      </c>
      <c r="H16" s="29">
        <f>H17+H25+H26+H27+H28+H29+H30+H31+H32+H33+H39+H42</f>
        <v>1074870</v>
      </c>
      <c r="I16" s="29">
        <f>I17+I25+I26+I27+I28+I29+I30+I31+I32+I33+I39+I42-1</f>
        <v>155028</v>
      </c>
      <c r="J16" s="52">
        <f>D16/C16</f>
        <v>1.2132775244698124</v>
      </c>
      <c r="K16" s="52">
        <f>G16/D16</f>
        <v>1</v>
      </c>
      <c r="L16" s="70"/>
      <c r="M16" s="69"/>
      <c r="N16" s="70"/>
    </row>
    <row r="17" spans="1:12" s="20" customFormat="1" ht="19.5" customHeight="1">
      <c r="A17" s="27">
        <v>1</v>
      </c>
      <c r="B17" s="27" t="s">
        <v>29</v>
      </c>
      <c r="C17" s="28">
        <f>101367+8796</f>
        <v>110163</v>
      </c>
      <c r="D17" s="28">
        <f>E17+F17</f>
        <v>190604</v>
      </c>
      <c r="E17" s="28">
        <f>SUM(E18:E24)</f>
        <v>187268</v>
      </c>
      <c r="F17" s="33">
        <f>SUM(F18:F21)</f>
        <v>3336</v>
      </c>
      <c r="G17" s="28">
        <f>D17</f>
        <v>190604</v>
      </c>
      <c r="H17" s="28">
        <f>E17</f>
        <v>187268</v>
      </c>
      <c r="I17" s="28">
        <f>F17</f>
        <v>3336</v>
      </c>
      <c r="J17" s="49">
        <f t="shared" si="2"/>
        <v>1.7301997948494503</v>
      </c>
      <c r="K17" s="49">
        <f t="shared" si="3"/>
        <v>1</v>
      </c>
      <c r="L17" s="4">
        <f>C17-C18-C19-C20-C21-C22-C23</f>
        <v>0</v>
      </c>
    </row>
    <row r="18" spans="1:12" ht="19.5" hidden="1" customHeight="1">
      <c r="A18" s="27" t="s">
        <v>1</v>
      </c>
      <c r="B18" s="27" t="s">
        <v>30</v>
      </c>
      <c r="C18" s="28">
        <v>4153</v>
      </c>
      <c r="D18" s="28">
        <f t="shared" ref="D18:D32" si="4">E18+F18</f>
        <v>6379</v>
      </c>
      <c r="E18" s="28">
        <f>3248+3700-1500</f>
        <v>5448</v>
      </c>
      <c r="F18" s="33">
        <v>931</v>
      </c>
      <c r="G18" s="28">
        <f>SUM(H18:I18)</f>
        <v>6379</v>
      </c>
      <c r="H18" s="28">
        <f>E18</f>
        <v>5448</v>
      </c>
      <c r="I18" s="28">
        <f>F18</f>
        <v>931</v>
      </c>
      <c r="J18" s="49"/>
      <c r="K18" s="49">
        <f t="shared" si="3"/>
        <v>1</v>
      </c>
    </row>
    <row r="19" spans="1:12" ht="19.5" hidden="1" customHeight="1">
      <c r="A19" s="27" t="s">
        <v>2</v>
      </c>
      <c r="B19" s="27" t="s">
        <v>31</v>
      </c>
      <c r="C19" s="28">
        <v>3230</v>
      </c>
      <c r="D19" s="28">
        <f t="shared" si="4"/>
        <v>1217</v>
      </c>
      <c r="E19" s="28">
        <f>497+292+428</f>
        <v>1217</v>
      </c>
      <c r="F19" s="33"/>
      <c r="G19" s="28">
        <f t="shared" ref="G19:G24" si="5">SUM(H19:I19)</f>
        <v>1217</v>
      </c>
      <c r="H19" s="28">
        <f t="shared" ref="H19:H26" si="6">E19</f>
        <v>1217</v>
      </c>
      <c r="I19" s="28"/>
      <c r="J19" s="49"/>
      <c r="K19" s="49">
        <f t="shared" si="3"/>
        <v>1</v>
      </c>
    </row>
    <row r="20" spans="1:12" ht="19.5" hidden="1" customHeight="1">
      <c r="A20" s="27" t="s">
        <v>58</v>
      </c>
      <c r="B20" s="27" t="s">
        <v>32</v>
      </c>
      <c r="C20" s="28">
        <f>4897+8796</f>
        <v>13693</v>
      </c>
      <c r="D20" s="28">
        <f t="shared" si="4"/>
        <v>12639</v>
      </c>
      <c r="E20" s="28">
        <f>2361+9453</f>
        <v>11814</v>
      </c>
      <c r="F20" s="33">
        <v>825</v>
      </c>
      <c r="G20" s="28">
        <f t="shared" si="5"/>
        <v>12639</v>
      </c>
      <c r="H20" s="28">
        <f t="shared" si="6"/>
        <v>11814</v>
      </c>
      <c r="I20" s="28">
        <f>F20</f>
        <v>825</v>
      </c>
      <c r="J20" s="49"/>
      <c r="K20" s="49">
        <f t="shared" si="3"/>
        <v>1</v>
      </c>
    </row>
    <row r="21" spans="1:12" ht="19.5" hidden="1" customHeight="1">
      <c r="A21" s="27" t="s">
        <v>59</v>
      </c>
      <c r="B21" s="27" t="s">
        <v>33</v>
      </c>
      <c r="C21" s="28">
        <v>43387</v>
      </c>
      <c r="D21" s="28">
        <f t="shared" si="4"/>
        <v>126169</v>
      </c>
      <c r="E21" s="28">
        <v>124589</v>
      </c>
      <c r="F21" s="33">
        <f>3336-F18-F20</f>
        <v>1580</v>
      </c>
      <c r="G21" s="28">
        <f t="shared" si="5"/>
        <v>126169</v>
      </c>
      <c r="H21" s="28">
        <f t="shared" si="6"/>
        <v>124589</v>
      </c>
      <c r="I21" s="28">
        <f>F21</f>
        <v>1580</v>
      </c>
      <c r="J21" s="49"/>
      <c r="K21" s="49">
        <f t="shared" si="3"/>
        <v>1</v>
      </c>
      <c r="L21" s="4"/>
    </row>
    <row r="22" spans="1:12" ht="19.5" hidden="1" customHeight="1">
      <c r="A22" s="27" t="s">
        <v>60</v>
      </c>
      <c r="B22" s="27" t="s">
        <v>34</v>
      </c>
      <c r="C22" s="28">
        <v>45000</v>
      </c>
      <c r="D22" s="28">
        <f t="shared" si="4"/>
        <v>42000</v>
      </c>
      <c r="E22" s="28">
        <v>42000</v>
      </c>
      <c r="F22" s="33"/>
      <c r="G22" s="28">
        <f t="shared" si="5"/>
        <v>42000</v>
      </c>
      <c r="H22" s="28">
        <f t="shared" si="6"/>
        <v>42000</v>
      </c>
      <c r="I22" s="28"/>
      <c r="J22" s="49"/>
      <c r="K22" s="49">
        <f t="shared" si="3"/>
        <v>1</v>
      </c>
      <c r="L22" s="4"/>
    </row>
    <row r="23" spans="1:12" ht="19.5" hidden="1" customHeight="1">
      <c r="A23" s="27" t="s">
        <v>61</v>
      </c>
      <c r="B23" s="27" t="s">
        <v>35</v>
      </c>
      <c r="C23" s="28">
        <v>700</v>
      </c>
      <c r="D23" s="28">
        <f t="shared" si="4"/>
        <v>700</v>
      </c>
      <c r="E23" s="28">
        <v>700</v>
      </c>
      <c r="F23" s="33"/>
      <c r="G23" s="28">
        <f t="shared" si="5"/>
        <v>700</v>
      </c>
      <c r="H23" s="28">
        <f t="shared" si="6"/>
        <v>700</v>
      </c>
      <c r="I23" s="28"/>
      <c r="J23" s="49"/>
      <c r="K23" s="49">
        <f t="shared" si="3"/>
        <v>1</v>
      </c>
    </row>
    <row r="24" spans="1:12" ht="19.5" hidden="1" customHeight="1">
      <c r="A24" s="27" t="s">
        <v>62</v>
      </c>
      <c r="B24" s="27" t="s">
        <v>36</v>
      </c>
      <c r="C24" s="28">
        <v>0</v>
      </c>
      <c r="D24" s="28">
        <f t="shared" si="4"/>
        <v>1500</v>
      </c>
      <c r="E24" s="28">
        <v>1500</v>
      </c>
      <c r="F24" s="33"/>
      <c r="G24" s="28">
        <f t="shared" si="5"/>
        <v>1500</v>
      </c>
      <c r="H24" s="28">
        <f t="shared" si="6"/>
        <v>1500</v>
      </c>
      <c r="I24" s="28"/>
      <c r="J24" s="49"/>
      <c r="K24" s="49">
        <f t="shared" si="3"/>
        <v>1</v>
      </c>
    </row>
    <row r="25" spans="1:12" s="20" customFormat="1" ht="19.5" customHeight="1">
      <c r="A25" s="27">
        <v>2</v>
      </c>
      <c r="B25" s="27" t="s">
        <v>37</v>
      </c>
      <c r="C25" s="28">
        <v>104010</v>
      </c>
      <c r="D25" s="28">
        <f t="shared" si="4"/>
        <v>92312</v>
      </c>
      <c r="E25" s="53">
        <v>92312</v>
      </c>
      <c r="F25" s="33"/>
      <c r="G25" s="28">
        <f>D25</f>
        <v>92312</v>
      </c>
      <c r="H25" s="53">
        <f t="shared" si="6"/>
        <v>92312</v>
      </c>
      <c r="I25" s="28"/>
      <c r="J25" s="49">
        <f t="shared" si="2"/>
        <v>0.88753004518796275</v>
      </c>
      <c r="K25" s="49">
        <f t="shared" si="3"/>
        <v>1</v>
      </c>
    </row>
    <row r="26" spans="1:12" ht="19.5" customHeight="1">
      <c r="A26" s="27">
        <v>3</v>
      </c>
      <c r="B26" s="27" t="s">
        <v>38</v>
      </c>
      <c r="C26" s="28">
        <v>22827</v>
      </c>
      <c r="D26" s="28">
        <f t="shared" si="4"/>
        <v>4857</v>
      </c>
      <c r="E26" s="53">
        <v>4496</v>
      </c>
      <c r="F26" s="33">
        <v>361</v>
      </c>
      <c r="G26" s="28">
        <f>D26</f>
        <v>4857</v>
      </c>
      <c r="H26" s="53">
        <f t="shared" si="6"/>
        <v>4496</v>
      </c>
      <c r="I26" s="28">
        <f>F26</f>
        <v>361</v>
      </c>
      <c r="J26" s="49">
        <f t="shared" si="2"/>
        <v>0.21277434616901039</v>
      </c>
      <c r="K26" s="49">
        <f t="shared" si="3"/>
        <v>1</v>
      </c>
    </row>
    <row r="27" spans="1:12" ht="23.25" customHeight="1">
      <c r="A27" s="27">
        <v>4</v>
      </c>
      <c r="B27" s="27" t="s">
        <v>39</v>
      </c>
      <c r="C27" s="28">
        <v>2754</v>
      </c>
      <c r="D27" s="28">
        <f t="shared" si="4"/>
        <v>3056</v>
      </c>
      <c r="E27" s="53">
        <v>1872</v>
      </c>
      <c r="F27" s="33">
        <v>1184</v>
      </c>
      <c r="G27" s="28">
        <f t="shared" ref="G27:I43" si="7">D27</f>
        <v>3056</v>
      </c>
      <c r="H27" s="53">
        <f t="shared" si="7"/>
        <v>1872</v>
      </c>
      <c r="I27" s="28">
        <f>F27</f>
        <v>1184</v>
      </c>
      <c r="J27" s="49">
        <f t="shared" si="2"/>
        <v>1.1096586782861293</v>
      </c>
      <c r="K27" s="49">
        <f t="shared" si="3"/>
        <v>1</v>
      </c>
    </row>
    <row r="28" spans="1:12" ht="22.5" customHeight="1">
      <c r="A28" s="27">
        <v>5</v>
      </c>
      <c r="B28" s="27" t="s">
        <v>40</v>
      </c>
      <c r="C28" s="28">
        <v>2037</v>
      </c>
      <c r="D28" s="28">
        <f t="shared" si="4"/>
        <v>2423</v>
      </c>
      <c r="E28" s="53">
        <v>1818</v>
      </c>
      <c r="F28" s="33">
        <v>605</v>
      </c>
      <c r="G28" s="28">
        <f t="shared" si="7"/>
        <v>2423</v>
      </c>
      <c r="H28" s="53">
        <f t="shared" si="7"/>
        <v>1818</v>
      </c>
      <c r="I28" s="28">
        <f>F28</f>
        <v>605</v>
      </c>
      <c r="J28" s="49">
        <f t="shared" si="2"/>
        <v>1.189494354442808</v>
      </c>
      <c r="K28" s="49">
        <f t="shared" si="3"/>
        <v>1</v>
      </c>
    </row>
    <row r="29" spans="1:12" ht="20.25" customHeight="1">
      <c r="A29" s="27">
        <v>6</v>
      </c>
      <c r="B29" s="27" t="s">
        <v>23</v>
      </c>
      <c r="C29" s="28">
        <v>385098</v>
      </c>
      <c r="D29" s="28">
        <f t="shared" si="4"/>
        <v>545608</v>
      </c>
      <c r="E29" s="53">
        <f>560521-15500</f>
        <v>545021</v>
      </c>
      <c r="F29" s="33">
        <v>587</v>
      </c>
      <c r="G29" s="28">
        <f t="shared" si="7"/>
        <v>545608</v>
      </c>
      <c r="H29" s="53">
        <f t="shared" si="7"/>
        <v>545021</v>
      </c>
      <c r="I29" s="28">
        <f>F29</f>
        <v>587</v>
      </c>
      <c r="J29" s="49">
        <f t="shared" si="2"/>
        <v>1.4168029956011197</v>
      </c>
      <c r="K29" s="49">
        <f t="shared" si="3"/>
        <v>1</v>
      </c>
      <c r="L29" s="4"/>
    </row>
    <row r="30" spans="1:12" ht="20.25" customHeight="1">
      <c r="A30" s="27">
        <v>7</v>
      </c>
      <c r="B30" s="27" t="s">
        <v>41</v>
      </c>
      <c r="C30" s="28">
        <v>774</v>
      </c>
      <c r="D30" s="28">
        <f t="shared" si="4"/>
        <v>944</v>
      </c>
      <c r="E30" s="53">
        <v>944</v>
      </c>
      <c r="F30" s="33"/>
      <c r="G30" s="28">
        <f t="shared" si="7"/>
        <v>944</v>
      </c>
      <c r="H30" s="53">
        <f t="shared" si="7"/>
        <v>944</v>
      </c>
      <c r="I30" s="28"/>
      <c r="J30" s="49">
        <f t="shared" si="2"/>
        <v>1.2196382428940569</v>
      </c>
      <c r="K30" s="49">
        <f t="shared" si="3"/>
        <v>1</v>
      </c>
    </row>
    <row r="31" spans="1:12" ht="20.25" customHeight="1">
      <c r="A31" s="27">
        <v>8</v>
      </c>
      <c r="B31" s="27" t="s">
        <v>42</v>
      </c>
      <c r="C31" s="28">
        <v>66212</v>
      </c>
      <c r="D31" s="28">
        <f t="shared" si="4"/>
        <v>85338</v>
      </c>
      <c r="E31" s="53">
        <v>78645</v>
      </c>
      <c r="F31" s="33">
        <v>6693</v>
      </c>
      <c r="G31" s="28">
        <f t="shared" si="7"/>
        <v>85338</v>
      </c>
      <c r="H31" s="53">
        <f t="shared" si="7"/>
        <v>78645</v>
      </c>
      <c r="I31" s="28">
        <f>F31</f>
        <v>6693</v>
      </c>
      <c r="J31" s="49">
        <f t="shared" si="2"/>
        <v>1.2888600253730442</v>
      </c>
      <c r="K31" s="49">
        <f t="shared" si="3"/>
        <v>1</v>
      </c>
    </row>
    <row r="32" spans="1:12" s="20" customFormat="1" ht="20.25" customHeight="1">
      <c r="A32" s="27">
        <v>9</v>
      </c>
      <c r="B32" s="27" t="s">
        <v>43</v>
      </c>
      <c r="C32" s="28">
        <v>102070</v>
      </c>
      <c r="D32" s="28">
        <f t="shared" si="4"/>
        <v>82588</v>
      </c>
      <c r="E32" s="53">
        <v>80283</v>
      </c>
      <c r="F32" s="33">
        <v>2305</v>
      </c>
      <c r="G32" s="28">
        <f t="shared" si="7"/>
        <v>82588</v>
      </c>
      <c r="H32" s="53">
        <f t="shared" si="7"/>
        <v>80283</v>
      </c>
      <c r="I32" s="28">
        <f>F32</f>
        <v>2305</v>
      </c>
      <c r="J32" s="49">
        <f t="shared" si="2"/>
        <v>0.80913098853727838</v>
      </c>
      <c r="K32" s="49">
        <f t="shared" si="3"/>
        <v>1</v>
      </c>
    </row>
    <row r="33" spans="1:14" s="20" customFormat="1" ht="20.25" customHeight="1">
      <c r="A33" s="27">
        <v>10</v>
      </c>
      <c r="B33" s="27" t="s">
        <v>44</v>
      </c>
      <c r="C33" s="28">
        <v>164294</v>
      </c>
      <c r="D33" s="28">
        <f>E33+F33</f>
        <v>175977</v>
      </c>
      <c r="E33" s="28">
        <v>52564</v>
      </c>
      <c r="F33" s="33">
        <v>123413</v>
      </c>
      <c r="G33" s="28">
        <f t="shared" si="7"/>
        <v>175977</v>
      </c>
      <c r="H33" s="28">
        <f t="shared" si="7"/>
        <v>52564</v>
      </c>
      <c r="I33" s="28">
        <f>F33</f>
        <v>123413</v>
      </c>
      <c r="J33" s="49">
        <f t="shared" si="2"/>
        <v>1.0711103266096145</v>
      </c>
      <c r="K33" s="49">
        <f t="shared" si="3"/>
        <v>1</v>
      </c>
    </row>
    <row r="34" spans="1:14" s="64" customFormat="1" ht="20.25" hidden="1" customHeight="1">
      <c r="A34" s="31" t="s">
        <v>68</v>
      </c>
      <c r="B34" s="31" t="s">
        <v>21</v>
      </c>
      <c r="C34" s="30"/>
      <c r="D34" s="30"/>
      <c r="E34" s="30"/>
      <c r="F34" s="67"/>
      <c r="G34" s="28">
        <f t="shared" si="7"/>
        <v>0</v>
      </c>
      <c r="H34" s="30"/>
      <c r="I34" s="30"/>
      <c r="J34" s="63" t="e">
        <f t="shared" si="2"/>
        <v>#DIV/0!</v>
      </c>
      <c r="K34" s="63" t="e">
        <f t="shared" si="3"/>
        <v>#DIV/0!</v>
      </c>
    </row>
    <row r="35" spans="1:14" s="64" customFormat="1" ht="20.25" hidden="1" customHeight="1">
      <c r="A35" s="31" t="s">
        <v>69</v>
      </c>
      <c r="B35" s="31" t="s">
        <v>45</v>
      </c>
      <c r="C35" s="30"/>
      <c r="D35" s="30"/>
      <c r="E35" s="30"/>
      <c r="F35" s="67"/>
      <c r="G35" s="28">
        <f t="shared" si="7"/>
        <v>0</v>
      </c>
      <c r="H35" s="30"/>
      <c r="I35" s="30"/>
      <c r="J35" s="63" t="e">
        <f t="shared" si="2"/>
        <v>#DIV/0!</v>
      </c>
      <c r="K35" s="63" t="e">
        <f t="shared" si="3"/>
        <v>#DIV/0!</v>
      </c>
    </row>
    <row r="36" spans="1:14" s="64" customFormat="1" ht="20.25" hidden="1" customHeight="1">
      <c r="A36" s="31" t="s">
        <v>70</v>
      </c>
      <c r="B36" s="31" t="s">
        <v>46</v>
      </c>
      <c r="C36" s="30"/>
      <c r="D36" s="30"/>
      <c r="E36" s="30"/>
      <c r="F36" s="67"/>
      <c r="G36" s="28">
        <f t="shared" si="7"/>
        <v>0</v>
      </c>
      <c r="H36" s="30"/>
      <c r="I36" s="30"/>
      <c r="J36" s="63" t="e">
        <f t="shared" si="2"/>
        <v>#DIV/0!</v>
      </c>
      <c r="K36" s="63" t="e">
        <f t="shared" si="3"/>
        <v>#DIV/0!</v>
      </c>
    </row>
    <row r="37" spans="1:14" s="64" customFormat="1" ht="20.25" hidden="1" customHeight="1">
      <c r="A37" s="31" t="s">
        <v>71</v>
      </c>
      <c r="B37" s="31" t="s">
        <v>47</v>
      </c>
      <c r="C37" s="30"/>
      <c r="D37" s="30"/>
      <c r="E37" s="30"/>
      <c r="F37" s="67"/>
      <c r="G37" s="28">
        <f t="shared" si="7"/>
        <v>0</v>
      </c>
      <c r="H37" s="30"/>
      <c r="I37" s="30"/>
      <c r="J37" s="63" t="e">
        <f t="shared" si="2"/>
        <v>#DIV/0!</v>
      </c>
      <c r="K37" s="63" t="e">
        <f t="shared" si="3"/>
        <v>#DIV/0!</v>
      </c>
    </row>
    <row r="38" spans="1:14" s="64" customFormat="1" ht="20.25" hidden="1" customHeight="1">
      <c r="A38" s="31" t="s">
        <v>72</v>
      </c>
      <c r="B38" s="31" t="s">
        <v>24</v>
      </c>
      <c r="C38" s="30"/>
      <c r="D38" s="30"/>
      <c r="E38" s="30"/>
      <c r="F38" s="67"/>
      <c r="G38" s="28">
        <f t="shared" si="7"/>
        <v>0</v>
      </c>
      <c r="H38" s="30"/>
      <c r="I38" s="30"/>
      <c r="J38" s="63" t="e">
        <f t="shared" si="2"/>
        <v>#DIV/0!</v>
      </c>
      <c r="K38" s="63" t="e">
        <f t="shared" si="3"/>
        <v>#DIV/0!</v>
      </c>
    </row>
    <row r="39" spans="1:14" s="20" customFormat="1" ht="20.25" customHeight="1">
      <c r="A39" s="27">
        <v>11</v>
      </c>
      <c r="B39" s="27" t="s">
        <v>48</v>
      </c>
      <c r="C39" s="28">
        <v>38255</v>
      </c>
      <c r="D39" s="28">
        <f t="shared" ref="D39:D44" si="8">E39+F39</f>
        <v>42192</v>
      </c>
      <c r="E39" s="28">
        <f>E40+E41</f>
        <v>25647</v>
      </c>
      <c r="F39" s="28">
        <f>F40+F41</f>
        <v>16545</v>
      </c>
      <c r="G39" s="28">
        <f t="shared" si="7"/>
        <v>42192</v>
      </c>
      <c r="H39" s="28">
        <f t="shared" si="7"/>
        <v>25647</v>
      </c>
      <c r="I39" s="28">
        <f t="shared" si="7"/>
        <v>16545</v>
      </c>
      <c r="J39" s="49">
        <f t="shared" si="2"/>
        <v>1.102914651679519</v>
      </c>
      <c r="K39" s="49">
        <f t="shared" si="3"/>
        <v>1</v>
      </c>
    </row>
    <row r="40" spans="1:14" ht="20.25" customHeight="1">
      <c r="A40" s="27" t="s">
        <v>74</v>
      </c>
      <c r="B40" s="27" t="s">
        <v>3</v>
      </c>
      <c r="C40" s="28">
        <v>8601</v>
      </c>
      <c r="D40" s="28">
        <f t="shared" si="8"/>
        <v>12093</v>
      </c>
      <c r="E40" s="28">
        <v>3649</v>
      </c>
      <c r="F40" s="33">
        <v>8444</v>
      </c>
      <c r="G40" s="28">
        <f t="shared" si="7"/>
        <v>12093</v>
      </c>
      <c r="H40" s="28">
        <f t="shared" si="7"/>
        <v>3649</v>
      </c>
      <c r="I40" s="28">
        <f t="shared" si="7"/>
        <v>8444</v>
      </c>
      <c r="J40" s="49"/>
      <c r="K40" s="49"/>
    </row>
    <row r="41" spans="1:14" ht="20.25" customHeight="1">
      <c r="A41" s="27" t="s">
        <v>75</v>
      </c>
      <c r="B41" s="27" t="s">
        <v>49</v>
      </c>
      <c r="C41" s="28">
        <v>29654</v>
      </c>
      <c r="D41" s="28">
        <f>E41+F41+1</f>
        <v>30100</v>
      </c>
      <c r="E41" s="28">
        <v>21998</v>
      </c>
      <c r="F41" s="33">
        <v>8101</v>
      </c>
      <c r="G41" s="28">
        <f t="shared" si="7"/>
        <v>30100</v>
      </c>
      <c r="H41" s="28">
        <f t="shared" si="7"/>
        <v>21998</v>
      </c>
      <c r="I41" s="28">
        <f t="shared" si="7"/>
        <v>8101</v>
      </c>
      <c r="J41" s="49"/>
      <c r="K41" s="49"/>
    </row>
    <row r="42" spans="1:14" s="20" customFormat="1" ht="20.25" customHeight="1">
      <c r="A42" s="27">
        <v>12</v>
      </c>
      <c r="B42" s="27" t="s">
        <v>50</v>
      </c>
      <c r="C42" s="28">
        <v>24000</v>
      </c>
      <c r="D42" s="28">
        <f t="shared" si="8"/>
        <v>4000</v>
      </c>
      <c r="E42" s="53">
        <v>4000</v>
      </c>
      <c r="F42" s="33"/>
      <c r="G42" s="28">
        <f t="shared" si="7"/>
        <v>4000</v>
      </c>
      <c r="H42" s="53">
        <f t="shared" si="7"/>
        <v>4000</v>
      </c>
      <c r="I42" s="28">
        <f t="shared" si="7"/>
        <v>0</v>
      </c>
      <c r="J42" s="49">
        <f t="shared" si="2"/>
        <v>0.16666666666666666</v>
      </c>
      <c r="K42" s="49">
        <f t="shared" si="3"/>
        <v>1</v>
      </c>
    </row>
    <row r="43" spans="1:14" s="86" customFormat="1" ht="36.75" customHeight="1">
      <c r="A43" s="81" t="s">
        <v>76</v>
      </c>
      <c r="B43" s="82" t="s">
        <v>78</v>
      </c>
      <c r="C43" s="26">
        <v>12750</v>
      </c>
      <c r="D43" s="26">
        <f t="shared" si="8"/>
        <v>9700</v>
      </c>
      <c r="E43" s="83">
        <v>9700</v>
      </c>
      <c r="F43" s="84"/>
      <c r="G43" s="26">
        <f t="shared" si="7"/>
        <v>9700</v>
      </c>
      <c r="H43" s="83">
        <f>E43</f>
        <v>9700</v>
      </c>
      <c r="I43" s="26"/>
      <c r="J43" s="85">
        <f>D43/C43</f>
        <v>0.76078431372549016</v>
      </c>
      <c r="K43" s="85">
        <f>G43/D43</f>
        <v>1</v>
      </c>
    </row>
    <row r="44" spans="1:14" s="20" customFormat="1" ht="20.25" customHeight="1">
      <c r="A44" s="25" t="s">
        <v>79</v>
      </c>
      <c r="B44" s="25" t="s">
        <v>51</v>
      </c>
      <c r="C44" s="29">
        <v>38357</v>
      </c>
      <c r="D44" s="29">
        <f t="shared" si="8"/>
        <v>53072</v>
      </c>
      <c r="E44" s="29">
        <v>48098</v>
      </c>
      <c r="F44" s="29">
        <v>4974</v>
      </c>
      <c r="G44" s="29">
        <f>D44</f>
        <v>53072</v>
      </c>
      <c r="H44" s="29">
        <f>E44</f>
        <v>48098</v>
      </c>
      <c r="I44" s="29">
        <f>F44</f>
        <v>4974</v>
      </c>
      <c r="J44" s="52">
        <f t="shared" si="2"/>
        <v>1.3836327137158797</v>
      </c>
      <c r="K44" s="52">
        <f t="shared" si="3"/>
        <v>1</v>
      </c>
      <c r="L44" s="69"/>
      <c r="M44" s="69"/>
      <c r="N44" s="69"/>
    </row>
    <row r="45" spans="1:14" s="20" customFormat="1" ht="20.25" hidden="1" customHeight="1">
      <c r="A45" s="25" t="s">
        <v>80</v>
      </c>
      <c r="B45" s="25" t="s">
        <v>52</v>
      </c>
      <c r="C45" s="54"/>
      <c r="D45" s="54"/>
      <c r="E45" s="54"/>
      <c r="F45" s="54"/>
      <c r="G45" s="54"/>
      <c r="H45" s="54"/>
      <c r="I45" s="54"/>
      <c r="J45" s="55"/>
      <c r="K45" s="55"/>
      <c r="L45" s="21"/>
      <c r="M45" s="5"/>
      <c r="N45" s="5"/>
    </row>
    <row r="46" spans="1:14" s="5" customFormat="1" ht="20.25" hidden="1" customHeight="1">
      <c r="A46" s="72"/>
      <c r="B46" s="31" t="s">
        <v>73</v>
      </c>
      <c r="C46" s="73"/>
      <c r="D46" s="73"/>
      <c r="E46" s="73"/>
      <c r="F46" s="73"/>
      <c r="G46" s="30"/>
      <c r="H46" s="30"/>
      <c r="I46" s="30"/>
      <c r="J46" s="74"/>
      <c r="K46" s="74"/>
      <c r="L46" s="21"/>
    </row>
    <row r="47" spans="1:14" s="5" customFormat="1" ht="20.25" customHeight="1">
      <c r="A47" s="37"/>
      <c r="B47" s="41"/>
      <c r="C47" s="38"/>
      <c r="D47" s="38"/>
      <c r="E47" s="38"/>
      <c r="F47" s="38"/>
      <c r="G47" s="42"/>
      <c r="H47" s="42"/>
      <c r="I47" s="42"/>
      <c r="J47" s="39"/>
      <c r="K47" s="39"/>
      <c r="L47" s="21"/>
    </row>
    <row r="48" spans="1:14" s="5" customFormat="1" ht="20.25" customHeight="1">
      <c r="A48" s="57"/>
      <c r="B48" s="58"/>
      <c r="C48" s="59"/>
      <c r="D48" s="59"/>
      <c r="E48" s="59"/>
      <c r="F48" s="59"/>
      <c r="G48" s="60"/>
      <c r="H48" s="60"/>
      <c r="I48" s="60"/>
      <c r="J48" s="61"/>
      <c r="K48" s="61"/>
      <c r="L48" s="21"/>
    </row>
    <row r="49" spans="1:12" s="5" customFormat="1" ht="20.25" customHeight="1">
      <c r="A49" s="57"/>
      <c r="B49" s="58"/>
      <c r="C49" s="59"/>
      <c r="D49" s="59"/>
      <c r="E49" s="59"/>
      <c r="F49" s="59"/>
      <c r="G49" s="60"/>
      <c r="H49" s="60"/>
      <c r="I49" s="60"/>
      <c r="J49" s="61"/>
      <c r="K49" s="61"/>
      <c r="L49" s="21"/>
    </row>
    <row r="50" spans="1:12" s="5" customFormat="1" ht="20.25" customHeight="1">
      <c r="A50" s="57"/>
      <c r="B50" s="58"/>
      <c r="C50" s="59"/>
      <c r="D50" s="59"/>
      <c r="E50" s="59"/>
      <c r="F50" s="59"/>
      <c r="G50" s="60"/>
      <c r="H50" s="60"/>
      <c r="I50" s="60"/>
      <c r="J50" s="61"/>
      <c r="K50" s="61"/>
      <c r="L50" s="21"/>
    </row>
    <row r="51" spans="1:12" s="5" customFormat="1" ht="20.25" customHeight="1">
      <c r="A51" s="57"/>
      <c r="B51" s="58"/>
      <c r="C51" s="59"/>
      <c r="D51" s="59"/>
      <c r="E51" s="59"/>
      <c r="F51" s="59"/>
      <c r="G51" s="60"/>
      <c r="H51" s="60"/>
      <c r="I51" s="60"/>
      <c r="J51" s="61"/>
      <c r="K51" s="61"/>
      <c r="L51" s="21"/>
    </row>
    <row r="52" spans="1:12" s="5" customFormat="1" ht="20.25" customHeight="1">
      <c r="A52" s="57"/>
      <c r="B52" s="58"/>
      <c r="C52" s="59"/>
      <c r="D52" s="59"/>
      <c r="E52" s="59"/>
      <c r="F52" s="59"/>
      <c r="G52" s="60"/>
      <c r="H52" s="60"/>
      <c r="I52" s="60"/>
      <c r="J52" s="61"/>
      <c r="K52" s="61"/>
      <c r="L52" s="21"/>
    </row>
    <row r="53" spans="1:12" s="5" customFormat="1" ht="20.25" customHeight="1">
      <c r="A53" s="57"/>
      <c r="B53" s="58"/>
      <c r="C53" s="59"/>
      <c r="D53" s="59"/>
      <c r="E53" s="59"/>
      <c r="F53" s="59"/>
      <c r="G53" s="60"/>
      <c r="H53" s="60"/>
      <c r="I53" s="60"/>
      <c r="J53" s="61"/>
      <c r="K53" s="61"/>
      <c r="L53" s="21"/>
    </row>
    <row r="54" spans="1:12" s="5" customFormat="1" ht="20.25" customHeight="1">
      <c r="A54" s="57"/>
      <c r="B54" s="58"/>
      <c r="C54" s="59"/>
      <c r="D54" s="59"/>
      <c r="E54" s="59"/>
      <c r="F54" s="59"/>
      <c r="G54" s="60"/>
      <c r="H54" s="60"/>
      <c r="I54" s="60"/>
      <c r="J54" s="61"/>
      <c r="K54" s="61"/>
      <c r="L54" s="21"/>
    </row>
    <row r="55" spans="1:12" s="5" customFormat="1" ht="20.25" customHeight="1">
      <c r="A55" s="57"/>
      <c r="B55" s="58"/>
      <c r="C55" s="59"/>
      <c r="D55" s="59"/>
      <c r="E55" s="59"/>
      <c r="F55" s="59"/>
      <c r="G55" s="60"/>
      <c r="H55" s="60"/>
      <c r="I55" s="60"/>
      <c r="J55" s="61"/>
      <c r="K55" s="61"/>
      <c r="L55" s="21"/>
    </row>
    <row r="56" spans="1:12" s="5" customFormat="1" ht="20.25" customHeight="1">
      <c r="A56" s="57"/>
      <c r="B56" s="58"/>
      <c r="C56" s="59"/>
      <c r="D56" s="59"/>
      <c r="E56" s="59"/>
      <c r="F56" s="59"/>
      <c r="G56" s="60"/>
      <c r="H56" s="60"/>
      <c r="I56" s="60"/>
      <c r="J56" s="61"/>
      <c r="K56" s="61"/>
      <c r="L56" s="21"/>
    </row>
    <row r="57" spans="1:12" s="5" customFormat="1" ht="20.25" customHeight="1">
      <c r="A57" s="57"/>
      <c r="B57" s="58"/>
      <c r="C57" s="59"/>
      <c r="D57" s="59"/>
      <c r="E57" s="59"/>
      <c r="F57" s="59"/>
      <c r="G57" s="60"/>
      <c r="H57" s="60"/>
      <c r="I57" s="60"/>
      <c r="J57" s="61"/>
      <c r="K57" s="61"/>
      <c r="L57" s="21"/>
    </row>
    <row r="58" spans="1:12" s="5" customFormat="1" ht="20.25" customHeight="1">
      <c r="A58" s="57"/>
      <c r="B58" s="58"/>
      <c r="C58" s="59"/>
      <c r="D58" s="59"/>
      <c r="E58" s="59"/>
      <c r="F58" s="59"/>
      <c r="G58" s="60"/>
      <c r="H58" s="60"/>
      <c r="I58" s="60"/>
      <c r="J58" s="61"/>
      <c r="K58" s="61"/>
      <c r="L58" s="21"/>
    </row>
    <row r="59" spans="1:12" s="5" customFormat="1" ht="20.25" customHeight="1">
      <c r="A59" s="57"/>
      <c r="B59" s="58"/>
      <c r="C59" s="59"/>
      <c r="D59" s="59"/>
      <c r="E59" s="59"/>
      <c r="F59" s="59"/>
      <c r="G59" s="60"/>
      <c r="H59" s="60"/>
      <c r="I59" s="60"/>
      <c r="J59" s="61"/>
      <c r="K59" s="61"/>
      <c r="L59" s="21"/>
    </row>
  </sheetData>
  <mergeCells count="15">
    <mergeCell ref="A5:K5"/>
    <mergeCell ref="I6:K6"/>
    <mergeCell ref="A7:A8"/>
    <mergeCell ref="B7:B8"/>
    <mergeCell ref="C7:C8"/>
    <mergeCell ref="D7:D8"/>
    <mergeCell ref="E7:F7"/>
    <mergeCell ref="G7:G8"/>
    <mergeCell ref="H7:I7"/>
    <mergeCell ref="J7:K7"/>
    <mergeCell ref="A1:B1"/>
    <mergeCell ref="C1:M1"/>
    <mergeCell ref="A2:B2"/>
    <mergeCell ref="A3:B3"/>
    <mergeCell ref="A4:K4"/>
  </mergeCells>
  <pageMargins left="0.39" right="0.2" top="0.43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A30" sqref="A30"/>
    </sheetView>
  </sheetViews>
  <sheetFormatPr defaultColWidth="5.69921875" defaultRowHeight="12.75"/>
  <cols>
    <col min="1" max="1" width="18.59765625" style="1" customWidth="1"/>
    <col min="2" max="2" width="0.796875" style="1" customWidth="1"/>
    <col min="3" max="3" width="20" style="1" customWidth="1"/>
    <col min="4" max="16384" width="5.69921875" style="1"/>
  </cols>
  <sheetData>
    <row r="1" spans="1:3" ht="18">
      <c r="A1" s="2"/>
      <c r="C1" s="2"/>
    </row>
    <row r="2" spans="1:3" ht="18.75" thickBot="1">
      <c r="A2" s="2"/>
    </row>
    <row r="3" spans="1:3" ht="18.75" thickBot="1">
      <c r="A3" s="2"/>
      <c r="C3"/>
    </row>
    <row r="4" spans="1:3" ht="18">
      <c r="A4" s="2"/>
      <c r="C4"/>
    </row>
    <row r="5" spans="1:3" ht="18">
      <c r="C5"/>
    </row>
    <row r="6" spans="1:3" ht="18.75" thickBot="1">
      <c r="C6"/>
    </row>
    <row r="7" spans="1:3" ht="18">
      <c r="A7"/>
      <c r="C7"/>
    </row>
    <row r="8" spans="1:3" ht="18">
      <c r="A8"/>
      <c r="C8"/>
    </row>
    <row r="9" spans="1:3" ht="18">
      <c r="A9"/>
      <c r="C9"/>
    </row>
    <row r="10" spans="1:3" ht="18">
      <c r="A10"/>
      <c r="C10"/>
    </row>
    <row r="11" spans="1:3" ht="18.75" thickBot="1">
      <c r="A11"/>
      <c r="C11"/>
    </row>
    <row r="12" spans="1:3" ht="18">
      <c r="C12"/>
    </row>
    <row r="13" spans="1:3" ht="18.75" thickBot="1">
      <c r="C13"/>
    </row>
    <row r="14" spans="1:3" ht="18.75" thickBot="1">
      <c r="A14"/>
      <c r="C14"/>
    </row>
    <row r="15" spans="1:3" ht="18">
      <c r="A15"/>
    </row>
    <row r="16" spans="1:3" ht="18.75" thickBot="1">
      <c r="A16"/>
    </row>
    <row r="17" spans="1:3" ht="18.75" thickBot="1">
      <c r="A17"/>
      <c r="C17"/>
    </row>
    <row r="18" spans="1:3" ht="18">
      <c r="C18"/>
    </row>
    <row r="19" spans="1:3" ht="18">
      <c r="C19"/>
    </row>
    <row r="20" spans="1:3" ht="18">
      <c r="A20"/>
      <c r="C20"/>
    </row>
    <row r="21" spans="1:3" ht="18">
      <c r="A21"/>
      <c r="C21"/>
    </row>
    <row r="22" spans="1:3" ht="18">
      <c r="A22"/>
      <c r="C22"/>
    </row>
    <row r="23" spans="1:3" ht="18">
      <c r="A23"/>
      <c r="C23"/>
    </row>
    <row r="24" spans="1:3" ht="18">
      <c r="A24"/>
    </row>
    <row r="25" spans="1:3" ht="18">
      <c r="A25"/>
    </row>
    <row r="26" spans="1:3" ht="18.75" thickBot="1">
      <c r="A26"/>
      <c r="C26"/>
    </row>
    <row r="27" spans="1:3" ht="18">
      <c r="A27"/>
      <c r="C27"/>
    </row>
    <row r="28" spans="1:3" ht="18">
      <c r="A28"/>
      <c r="C28"/>
    </row>
    <row r="29" spans="1:3" ht="18">
      <c r="A29"/>
      <c r="C29"/>
    </row>
    <row r="30" spans="1:3" ht="18">
      <c r="A30"/>
      <c r="C30"/>
    </row>
    <row r="31" spans="1:3" ht="18">
      <c r="A31"/>
      <c r="C31"/>
    </row>
    <row r="32" spans="1:3" ht="18">
      <c r="A32"/>
      <c r="C32"/>
    </row>
    <row r="33" spans="1:3" ht="18">
      <c r="A33"/>
      <c r="C33"/>
    </row>
    <row r="34" spans="1:3" ht="18">
      <c r="A34"/>
      <c r="C34"/>
    </row>
    <row r="35" spans="1:3" ht="18">
      <c r="A35"/>
      <c r="C35"/>
    </row>
    <row r="36" spans="1:3" ht="18">
      <c r="A36"/>
      <c r="C36"/>
    </row>
    <row r="37" spans="1:3" ht="18">
      <c r="A37"/>
    </row>
    <row r="38" spans="1:3" ht="18">
      <c r="A38"/>
    </row>
    <row r="39" spans="1:3" ht="18">
      <c r="A39"/>
      <c r="C39"/>
    </row>
    <row r="40" spans="1:3" ht="18">
      <c r="A40"/>
      <c r="C40"/>
    </row>
    <row r="41" spans="1:3" ht="18">
      <c r="A41"/>
      <c r="C41"/>
    </row>
  </sheetData>
  <sheetProtection password="8863" sheet="1" objects="1"/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Formulas="1" workbookViewId="0">
      <selection activeCell="C1" sqref="C1"/>
    </sheetView>
  </sheetViews>
  <sheetFormatPr defaultColWidth="6.3984375" defaultRowHeight="12.75"/>
  <cols>
    <col min="1" max="1" width="20.8984375" style="7" customWidth="1"/>
    <col min="2" max="2" width="0.8984375" style="7" customWidth="1"/>
    <col min="3" max="3" width="22.5" style="7" customWidth="1"/>
    <col min="4" max="16384" width="6.3984375" style="7"/>
  </cols>
  <sheetData>
    <row r="1" spans="1:3">
      <c r="A1" s="6" t="s">
        <v>20</v>
      </c>
      <c r="C1" s="7" t="str">
        <f>"Deleted By K"</f>
        <v>Deleted By K</v>
      </c>
    </row>
    <row r="2" spans="1:3" ht="13.5" thickBot="1">
      <c r="A2" s="6" t="s">
        <v>8</v>
      </c>
    </row>
    <row r="3" spans="1:3" ht="13.5" thickBot="1">
      <c r="A3" s="8" t="s">
        <v>9</v>
      </c>
      <c r="C3" s="9" t="s">
        <v>10</v>
      </c>
    </row>
    <row r="4" spans="1:3">
      <c r="A4" s="8">
        <v>3</v>
      </c>
      <c r="C4" s="10" t="str">
        <f>"Delete"</f>
        <v>Delete</v>
      </c>
    </row>
    <row r="5" spans="1:3">
      <c r="C5" s="10" t="str">
        <f>"Deleted By K"</f>
        <v>Deleted By K</v>
      </c>
    </row>
    <row r="6" spans="1:3" ht="13.5" thickBot="1">
      <c r="C6" s="10" t="str">
        <f>"Deleted By"</f>
        <v>Deleted By</v>
      </c>
    </row>
    <row r="7" spans="1:3">
      <c r="A7" s="11" t="s">
        <v>11</v>
      </c>
      <c r="C7" s="10" t="str">
        <f>"D"</f>
        <v>D</v>
      </c>
    </row>
    <row r="8" spans="1:3">
      <c r="A8" s="12" t="s">
        <v>12</v>
      </c>
      <c r="C8" s="10" t="str">
        <f>""</f>
        <v/>
      </c>
    </row>
    <row r="9" spans="1:3">
      <c r="A9" s="13" t="s">
        <v>13</v>
      </c>
      <c r="C9" s="10" t="str">
        <f>"Del"</f>
        <v>Del</v>
      </c>
    </row>
    <row r="10" spans="1:3">
      <c r="A10" s="12" t="s">
        <v>14</v>
      </c>
      <c r="C10" s="10" t="str">
        <f>"Delete"</f>
        <v>Delete</v>
      </c>
    </row>
    <row r="11" spans="1:3" ht="13.5" thickBot="1">
      <c r="A11" s="14" t="s">
        <v>15</v>
      </c>
      <c r="C11" s="10" t="str">
        <f>"Deleted By Kaspersky Lab A"</f>
        <v>Deleted By Kaspersky Lab A</v>
      </c>
    </row>
    <row r="12" spans="1:3">
      <c r="C12" s="10" t="str">
        <f>"Deleted By Kaspersky Lab AV "</f>
        <v xml:space="preserve">Deleted By Kaspersky Lab AV </v>
      </c>
    </row>
    <row r="13" spans="1:3" ht="13.5" thickBot="1">
      <c r="C13" s="10" t="str">
        <f>"Deleted By K"</f>
        <v>Deleted By K</v>
      </c>
    </row>
    <row r="14" spans="1:3" ht="13.5" thickBot="1">
      <c r="A14" s="9" t="s">
        <v>16</v>
      </c>
      <c r="C14" s="15" t="str">
        <f>"D"</f>
        <v>D</v>
      </c>
    </row>
    <row r="15" spans="1:3">
      <c r="A15" s="10" t="str">
        <f>"Deleted By Kaspersky Lab AV Deleted By K"</f>
        <v>Deleted By Kaspersky Lab AV Deleted By K</v>
      </c>
    </row>
    <row r="16" spans="1:3" ht="13.5" thickBot="1">
      <c r="A16" s="10" t="str">
        <f>"Deleted By Kaspersky Lab AV Deleted By Kaspersky Lab AV Deleted B"</f>
        <v>Deleted By Kaspersky Lab AV Deleted By Kaspersky Lab AV Deleted B</v>
      </c>
    </row>
    <row r="17" spans="1:3" ht="13.5" thickBot="1">
      <c r="A17" s="15" t="str">
        <f>"D"</f>
        <v>D</v>
      </c>
      <c r="C17" s="9" t="s">
        <v>17</v>
      </c>
    </row>
    <row r="18" spans="1:3">
      <c r="C18" s="10" t="str">
        <f>"Deleted By Kaspersky Lab AV Deleted By "</f>
        <v xml:space="preserve">Deleted By Kaspersky Lab AV Deleted By </v>
      </c>
    </row>
    <row r="19" spans="1:3">
      <c r="C19" s="10" t="str">
        <f>"Deleted By Kaspersky Lab A"</f>
        <v>Deleted By Kaspersky Lab A</v>
      </c>
    </row>
    <row r="20" spans="1:3">
      <c r="A20" s="16" t="s">
        <v>18</v>
      </c>
      <c r="C20" s="10" t="str">
        <f>"Deleted By Kaspersky "</f>
        <v xml:space="preserve">Deleted By Kaspersky </v>
      </c>
    </row>
    <row r="21" spans="1:3">
      <c r="A21" s="17" t="str">
        <f>"Deleted By Kaspersky Lab AV Deleted By"</f>
        <v>Deleted By Kaspersky Lab AV Deleted By</v>
      </c>
      <c r="C21" s="10" t="str">
        <f>"Deleted By Kaspersky "</f>
        <v xml:space="preserve">Deleted By Kaspersky </v>
      </c>
    </row>
    <row r="22" spans="1:3">
      <c r="A22" s="10" t="str">
        <f>"Deleted "</f>
        <v xml:space="preserve">Deleted </v>
      </c>
      <c r="C22" s="10" t="str">
        <f>"Deleted By Kaspersky Lab AV Deleted By "</f>
        <v xml:space="preserve">Deleted By Kaspersky Lab AV Deleted By </v>
      </c>
    </row>
    <row r="23" spans="1:3">
      <c r="A23" s="10" t="str">
        <f>"Deleted By"</f>
        <v>Deleted By</v>
      </c>
      <c r="C23" s="15" t="str">
        <f>"D"</f>
        <v>D</v>
      </c>
    </row>
    <row r="24" spans="1:3">
      <c r="A24" s="10" t="str">
        <f>"D"</f>
        <v>D</v>
      </c>
    </row>
    <row r="25" spans="1:3">
      <c r="A25" s="10" t="str">
        <f>""</f>
        <v/>
      </c>
    </row>
    <row r="26" spans="1:3" ht="13.5" thickBot="1">
      <c r="A26" s="10" t="str">
        <f>"Dele"</f>
        <v>Dele</v>
      </c>
      <c r="C26" s="18" t="s">
        <v>19</v>
      </c>
    </row>
    <row r="27" spans="1:3">
      <c r="A27" s="10" t="str">
        <f>"Dele"</f>
        <v>Dele</v>
      </c>
      <c r="C27" s="10" t="str">
        <f>"Delete"</f>
        <v>Delete</v>
      </c>
    </row>
    <row r="28" spans="1:3">
      <c r="A28" s="10" t="str">
        <f>"Dele"</f>
        <v>Dele</v>
      </c>
      <c r="C28" s="10" t="str">
        <f>"Deleted "</f>
        <v xml:space="preserve">Deleted </v>
      </c>
    </row>
    <row r="29" spans="1:3">
      <c r="A29" s="10" t="str">
        <f>"D"</f>
        <v>D</v>
      </c>
      <c r="C29" s="10" t="str">
        <f>"Deleted By"</f>
        <v>Deleted By</v>
      </c>
    </row>
    <row r="30" spans="1:3">
      <c r="A30" s="10" t="str">
        <f>"Delete"</f>
        <v>Delete</v>
      </c>
      <c r="C30" s="10" t="str">
        <f>"D"</f>
        <v>D</v>
      </c>
    </row>
    <row r="31" spans="1:3">
      <c r="A31" s="10" t="str">
        <f>"Deleted By Kasper"</f>
        <v>Deleted By Kasper</v>
      </c>
      <c r="C31" s="10" t="str">
        <f>"Del"</f>
        <v>Del</v>
      </c>
    </row>
    <row r="32" spans="1:3">
      <c r="A32" s="10" t="str">
        <f>"Deleted By Kaspersky"</f>
        <v>Deleted By Kaspersky</v>
      </c>
      <c r="C32" s="10" t="str">
        <f>"D"</f>
        <v>D</v>
      </c>
    </row>
    <row r="33" spans="1:3">
      <c r="A33" s="10" t="str">
        <f>"Deleted By Kaspersk"</f>
        <v>Deleted By Kaspersk</v>
      </c>
      <c r="C33" s="10" t="str">
        <f>"Delete"</f>
        <v>Delete</v>
      </c>
    </row>
    <row r="34" spans="1:3">
      <c r="A34" s="10" t="str">
        <f>"Deleted By Kaspersky"</f>
        <v>Deleted By Kaspersky</v>
      </c>
      <c r="C34" s="10" t="str">
        <f>"Deleted By Kasper"</f>
        <v>Deleted By Kasper</v>
      </c>
    </row>
    <row r="35" spans="1:3">
      <c r="A35" s="10" t="str">
        <f>"Deleted By Kaspers"</f>
        <v>Deleted By Kaspers</v>
      </c>
      <c r="C35" s="10" t="str">
        <f>""</f>
        <v/>
      </c>
    </row>
    <row r="36" spans="1:3">
      <c r="A36" s="10" t="str">
        <f>"D"</f>
        <v>D</v>
      </c>
      <c r="C36" s="15" t="str">
        <f>"D"</f>
        <v>D</v>
      </c>
    </row>
    <row r="37" spans="1:3">
      <c r="A37" s="10" t="str">
        <f>"D"</f>
        <v>D</v>
      </c>
    </row>
    <row r="38" spans="1:3">
      <c r="A38" s="10" t="str">
        <f>"D"</f>
        <v>D</v>
      </c>
    </row>
    <row r="39" spans="1:3">
      <c r="A39" s="10" t="str">
        <f>"Delete"</f>
        <v>Delete</v>
      </c>
      <c r="C39" s="17" t="str">
        <f>"Deleted By Kaspersky"</f>
        <v>Deleted By Kaspersky</v>
      </c>
    </row>
    <row r="40" spans="1:3">
      <c r="A40" s="10" t="str">
        <f>"D"</f>
        <v>D</v>
      </c>
      <c r="C40" s="10" t="str">
        <f>"Deleted By Kaspersky Lab AV Deleted By Kaspersky Lab AV Dele"</f>
        <v>Deleted By Kaspersky Lab AV Deleted By Kaspersky Lab AV Dele</v>
      </c>
    </row>
    <row r="41" spans="1:3">
      <c r="A41" s="15" t="str">
        <f>"D"</f>
        <v>D</v>
      </c>
      <c r="C41" s="15" t="str">
        <f>"D"</f>
        <v>D</v>
      </c>
    </row>
  </sheetData>
  <sheetProtection password="8863" sheet="1" objects="1"/>
  <phoneticPr fontId="29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5E7EE34DD9B44C845FA10C91A0F08B" ma:contentTypeVersion="0" ma:contentTypeDescription="Create a new document." ma:contentTypeScope="" ma:versionID="48ce28e7fc88b4ba9904c3f5478705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D85ACE-E073-4383-BFDC-2C93789B276F}"/>
</file>

<file path=customXml/itemProps2.xml><?xml version="1.0" encoding="utf-8"?>
<ds:datastoreItem xmlns:ds="http://schemas.openxmlformats.org/officeDocument/2006/customXml" ds:itemID="{0B5FA83A-B2A7-4728-8407-4B199D60C741}"/>
</file>

<file path=customXml/itemProps3.xml><?xml version="1.0" encoding="utf-8"?>
<ds:datastoreItem xmlns:ds="http://schemas.openxmlformats.org/officeDocument/2006/customXml" ds:itemID="{99A6BDFE-1F35-44FE-97D1-57357CE5F5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CÔNG KHAI DT THU 2025</vt:lpstr>
      <vt:lpstr>CÔNG KHAI DT CHI  2025</vt:lpstr>
      <vt:lpstr>XL4Poppy</vt:lpstr>
      <vt:lpstr>Sheet7</vt:lpstr>
      <vt:lpstr>Sheet8</vt:lpstr>
      <vt:lpstr>XL4Poppy!abc</vt:lpstr>
      <vt:lpstr>Bust</vt:lpstr>
      <vt:lpstr>Continue</vt:lpstr>
      <vt:lpstr>Documents_array</vt:lpstr>
      <vt:lpstr>Hello</vt:lpstr>
    </vt:vector>
  </TitlesOfParts>
  <Company>PL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 Kien</dc:creator>
  <cp:lastModifiedBy>Admin</cp:lastModifiedBy>
  <cp:lastPrinted>2025-01-20T01:31:05Z</cp:lastPrinted>
  <dcterms:created xsi:type="dcterms:W3CDTF">2005-07-31T10:56:31Z</dcterms:created>
  <dcterms:modified xsi:type="dcterms:W3CDTF">2025-01-20T01:32:02Z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0x010100DA5E7EE34DD9B44C845FA10C91A0F08B</vt:lpwstr>
  </property>
</Properties>
</file>